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33EBC06D9272F6C/Camelot 2025/"/>
    </mc:Choice>
  </mc:AlternateContent>
  <xr:revisionPtr revIDLastSave="134" documentId="8_{119C69A9-0D1B-4AF8-ADF6-67FB4760CDA2}" xr6:coauthVersionLast="47" xr6:coauthVersionMax="47" xr10:uidLastSave="{AB56CC26-1661-4957-80C1-92214E4676A8}"/>
  <bookViews>
    <workbookView xWindow="-108" yWindow="-108" windowWidth="23256" windowHeight="12456" xr2:uid="{8AA743C8-DB33-4126-ADC9-5FEA0B189A31}"/>
  </bookViews>
  <sheets>
    <sheet name="Fiscal Year 2025" sheetId="1" r:id="rId1"/>
    <sheet name="Construction Acct" sheetId="2" r:id="rId2"/>
    <sheet name="Sheet2" sheetId="4" r:id="rId3"/>
    <sheet name="Sheet1" sheetId="3" r:id="rId4"/>
  </sheets>
  <definedNames>
    <definedName name="_xlnm.Print_Area" localSheetId="1">'Construction Acct'!$A$1:$I$158</definedName>
    <definedName name="_xlnm.Print_Area" localSheetId="0">'Fiscal Year 2025'!$A$1:$J$62</definedName>
    <definedName name="_xlnm.Print_Titles" localSheetId="1">'Construction Acct'!$A:$I,'Construction Acct'!$12:$12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9" i="1" s="1"/>
  <c r="F5" i="1"/>
  <c r="F14" i="1"/>
  <c r="F3" i="1"/>
  <c r="F49" i="1"/>
  <c r="F41" i="1"/>
  <c r="F34" i="1"/>
  <c r="D3" i="2"/>
  <c r="B47" i="1"/>
  <c r="B58" i="1"/>
  <c r="B59" i="1"/>
  <c r="D7" i="1"/>
  <c r="B6" i="1"/>
  <c r="B5" i="1"/>
  <c r="D6" i="1"/>
  <c r="B25" i="1"/>
  <c r="D25" i="1" s="1"/>
  <c r="B12" i="1"/>
  <c r="D12" i="1" s="1"/>
  <c r="B8" i="1"/>
  <c r="B37" i="1"/>
  <c r="B33" i="1"/>
  <c r="B26" i="1"/>
  <c r="D26" i="1" s="1"/>
  <c r="B21" i="1"/>
  <c r="B31" i="1"/>
  <c r="B38" i="1"/>
  <c r="B41" i="1" s="1"/>
  <c r="B20" i="1"/>
  <c r="D20" i="1" s="1"/>
  <c r="D23" i="1"/>
  <c r="B22" i="1"/>
  <c r="D22" i="1" s="1"/>
  <c r="I153" i="2"/>
  <c r="I154" i="2" s="1"/>
  <c r="I155" i="2" s="1"/>
  <c r="I156" i="2" s="1"/>
  <c r="D9" i="2"/>
  <c r="B43" i="1"/>
  <c r="D27" i="1"/>
  <c r="B36" i="1"/>
  <c r="D36" i="1" s="1"/>
  <c r="B40" i="1"/>
  <c r="D40" i="1" s="1"/>
  <c r="D4" i="3"/>
  <c r="D13" i="1"/>
  <c r="D11" i="1"/>
  <c r="D10" i="1"/>
  <c r="D9" i="1"/>
  <c r="C48" i="1"/>
  <c r="D48" i="1" s="1"/>
  <c r="C46" i="1"/>
  <c r="D46" i="1" s="1"/>
  <c r="D45" i="1"/>
  <c r="C44" i="1"/>
  <c r="D44" i="1" s="1"/>
  <c r="D28" i="1"/>
  <c r="C24" i="1"/>
  <c r="D24" i="1" s="1"/>
  <c r="D33" i="1"/>
  <c r="D32" i="1"/>
  <c r="C39" i="1"/>
  <c r="D39" i="1" s="1"/>
  <c r="D3" i="1"/>
  <c r="E47" i="1"/>
  <c r="E49" i="1" s="1"/>
  <c r="E5" i="1"/>
  <c r="E14" i="1" s="1"/>
  <c r="E16" i="1" s="1"/>
  <c r="G47" i="1"/>
  <c r="G43" i="1"/>
  <c r="G40" i="1"/>
  <c r="G38" i="1"/>
  <c r="G37" i="1"/>
  <c r="G36" i="1"/>
  <c r="G33" i="1"/>
  <c r="G31" i="1"/>
  <c r="G22" i="1"/>
  <c r="G21" i="1"/>
  <c r="G20" i="1"/>
  <c r="G9" i="1"/>
  <c r="G8" i="1"/>
  <c r="G5" i="1"/>
  <c r="I14" i="2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113" i="2" s="1"/>
  <c r="I114" i="2" s="1"/>
  <c r="I115" i="2" s="1"/>
  <c r="I116" i="2" s="1"/>
  <c r="I117" i="2" s="1"/>
  <c r="I118" i="2" s="1"/>
  <c r="I119" i="2" s="1"/>
  <c r="I120" i="2" s="1"/>
  <c r="I121" i="2" s="1"/>
  <c r="I122" i="2" s="1"/>
  <c r="I123" i="2" s="1"/>
  <c r="I124" i="2" s="1"/>
  <c r="I125" i="2" s="1"/>
  <c r="I126" i="2" s="1"/>
  <c r="I127" i="2" s="1"/>
  <c r="I128" i="2" s="1"/>
  <c r="I129" i="2" s="1"/>
  <c r="I130" i="2" s="1"/>
  <c r="I131" i="2" s="1"/>
  <c r="I132" i="2" s="1"/>
  <c r="I133" i="2" s="1"/>
  <c r="I134" i="2" s="1"/>
  <c r="I135" i="2" s="1"/>
  <c r="I136" i="2" s="1"/>
  <c r="I137" i="2" s="1"/>
  <c r="I138" i="2" s="1"/>
  <c r="I139" i="2" s="1"/>
  <c r="I140" i="2" s="1"/>
  <c r="I141" i="2" s="1"/>
  <c r="I142" i="2" s="1"/>
  <c r="I143" i="2" s="1"/>
  <c r="I144" i="2" s="1"/>
  <c r="I145" i="2" s="1"/>
  <c r="I146" i="2" s="1"/>
  <c r="I147" i="2" s="1"/>
  <c r="I148" i="2" s="1"/>
  <c r="I149" i="2" s="1"/>
  <c r="I150" i="2" s="1"/>
  <c r="I151" i="2" s="1"/>
  <c r="I152" i="2" s="1"/>
  <c r="N49" i="1"/>
  <c r="L49" i="1"/>
  <c r="I49" i="1"/>
  <c r="H49" i="1"/>
  <c r="J45" i="1"/>
  <c r="J49" i="1" s="1"/>
  <c r="I41" i="1"/>
  <c r="E41" i="1"/>
  <c r="N40" i="1"/>
  <c r="N41" i="1" s="1"/>
  <c r="L40" i="1"/>
  <c r="L41" i="1" s="1"/>
  <c r="J40" i="1"/>
  <c r="J37" i="1"/>
  <c r="J41" i="1" s="1"/>
  <c r="H40" i="1"/>
  <c r="H36" i="1"/>
  <c r="H41" i="1" s="1"/>
  <c r="I34" i="1"/>
  <c r="E34" i="1"/>
  <c r="L33" i="1"/>
  <c r="H33" i="1"/>
  <c r="H34" i="1"/>
  <c r="N31" i="1"/>
  <c r="N34" i="1" s="1"/>
  <c r="L31" i="1"/>
  <c r="J31" i="1"/>
  <c r="J34" i="1" s="1"/>
  <c r="I29" i="1"/>
  <c r="E29" i="1"/>
  <c r="H26" i="1"/>
  <c r="N22" i="1"/>
  <c r="N29" i="1" s="1"/>
  <c r="L22" i="1"/>
  <c r="L29" i="1"/>
  <c r="H21" i="1"/>
  <c r="J20" i="1"/>
  <c r="J29" i="1" s="1"/>
  <c r="H20" i="1"/>
  <c r="I14" i="1"/>
  <c r="I16" i="1"/>
  <c r="N9" i="1"/>
  <c r="N14" i="1" s="1"/>
  <c r="N16" i="1" s="1"/>
  <c r="L9" i="1"/>
  <c r="L14" i="1" s="1"/>
  <c r="L16" i="1" s="1"/>
  <c r="J8" i="1"/>
  <c r="J14" i="1" s="1"/>
  <c r="J16" i="1" s="1"/>
  <c r="H8" i="1"/>
  <c r="H14" i="1"/>
  <c r="H16" i="1"/>
  <c r="F51" i="1" l="1"/>
  <c r="F16" i="1"/>
  <c r="B29" i="1"/>
  <c r="B49" i="1"/>
  <c r="H29" i="1"/>
  <c r="G29" i="1"/>
  <c r="G41" i="1"/>
  <c r="B34" i="1"/>
  <c r="G49" i="1"/>
  <c r="D21" i="1"/>
  <c r="D29" i="1" s="1"/>
  <c r="D43" i="1"/>
  <c r="D31" i="1"/>
  <c r="D34" i="1" s="1"/>
  <c r="D5" i="1"/>
  <c r="D38" i="1"/>
  <c r="D47" i="1"/>
  <c r="C14" i="1"/>
  <c r="C16" i="1" s="1"/>
  <c r="C29" i="1"/>
  <c r="D37" i="1"/>
  <c r="D8" i="1"/>
  <c r="B14" i="1"/>
  <c r="B16" i="1" s="1"/>
  <c r="H51" i="1"/>
  <c r="H52" i="1" s="1"/>
  <c r="G34" i="1"/>
  <c r="E51" i="1"/>
  <c r="E52" i="1" s="1"/>
  <c r="J51" i="1"/>
  <c r="J52" i="1" s="1"/>
  <c r="L34" i="1"/>
  <c r="L51" i="1" s="1"/>
  <c r="L52" i="1" s="1"/>
  <c r="N51" i="1"/>
  <c r="N52" i="1" s="1"/>
  <c r="I51" i="1"/>
  <c r="I52" i="1" s="1"/>
  <c r="G14" i="1"/>
  <c r="G16" i="1" s="1"/>
  <c r="F52" i="1" l="1"/>
  <c r="G51" i="1"/>
  <c r="G52" i="1" s="1"/>
  <c r="C49" i="1"/>
  <c r="D49" i="1"/>
  <c r="D41" i="1"/>
  <c r="C34" i="1"/>
  <c r="B51" i="1"/>
  <c r="B52" i="1" s="1"/>
  <c r="B60" i="1" s="1"/>
  <c r="B62" i="1" s="1"/>
  <c r="D14" i="1"/>
  <c r="D16" i="1" s="1"/>
  <c r="C41" i="1"/>
  <c r="D51" i="1" l="1"/>
  <c r="D52" i="1" s="1"/>
  <c r="C51" i="1"/>
  <c r="C52" i="1" s="1"/>
  <c r="D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JoAnne Dunaway</author>
    <author>tc={4C783A5C-4660-440D-B5FC-AA10B86AC1C2}</author>
  </authors>
  <commentList>
    <comment ref="E47" authorId="0" shapeId="0" xr:uid="{4B95F0AE-11AC-494C-A9F7-988956C3F87C}">
      <text>
        <r>
          <rPr>
            <b/>
            <sz val="9"/>
            <color indexed="81"/>
            <rFont val="Tahoma"/>
            <family val="2"/>
          </rPr>
          <t>JoAnne Dunaway:</t>
        </r>
        <r>
          <rPr>
            <sz val="9"/>
            <color indexed="81"/>
            <rFont val="Tahoma"/>
            <family val="2"/>
          </rPr>
          <t xml:space="preserve">
contract with CV is 2% of assessments
</t>
        </r>
      </text>
    </comment>
    <comment ref="G48" authorId="1" shapeId="0" xr:uid="{4C783A5C-4660-440D-B5FC-AA10B86AC1C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Orf refund reclass to deposit
</t>
      </text>
    </comment>
  </commentList>
</comments>
</file>

<file path=xl/sharedStrings.xml><?xml version="1.0" encoding="utf-8"?>
<sst xmlns="http://schemas.openxmlformats.org/spreadsheetml/2006/main" count="578" uniqueCount="228">
  <si>
    <t>Budget</t>
  </si>
  <si>
    <t>FYE Actuals</t>
  </si>
  <si>
    <t>2023</t>
  </si>
  <si>
    <t>Dec 2021</t>
  </si>
  <si>
    <t>Dec 2019</t>
  </si>
  <si>
    <t>Dec 2018</t>
  </si>
  <si>
    <t>Beginning Cash Balance</t>
  </si>
  <si>
    <t>INCOME</t>
  </si>
  <si>
    <t xml:space="preserve">Assessments </t>
  </si>
  <si>
    <t>Interest Bank Acct</t>
  </si>
  <si>
    <t>Recovery Recording Fees/Interest past due assess</t>
  </si>
  <si>
    <t>Intest past due assessments</t>
  </si>
  <si>
    <t>Misc Income CREC and other</t>
  </si>
  <si>
    <t xml:space="preserve">  Total Income</t>
  </si>
  <si>
    <t>Total Available Cash from Assessments</t>
  </si>
  <si>
    <t>EXPENSES</t>
  </si>
  <si>
    <t>Common Grounds Expenses:</t>
  </si>
  <si>
    <t xml:space="preserve">  Paths</t>
  </si>
  <si>
    <t xml:space="preserve">  Monument Repairs/ landscape lights/Fences</t>
  </si>
  <si>
    <t xml:space="preserve">  Signs and Posts</t>
  </si>
  <si>
    <t>Sub-Total Common Grounds</t>
  </si>
  <si>
    <t>Communications Expenses:</t>
  </si>
  <si>
    <t xml:space="preserve">  Postage and Letter Supplies</t>
  </si>
  <si>
    <t xml:space="preserve">  Website Expenses</t>
  </si>
  <si>
    <t>Sub-Total Communications</t>
  </si>
  <si>
    <t>Continuing Operations Expenses:</t>
  </si>
  <si>
    <t xml:space="preserve">  Insurance</t>
  </si>
  <si>
    <t xml:space="preserve">  Electric</t>
  </si>
  <si>
    <t xml:space="preserve">  Water</t>
  </si>
  <si>
    <t xml:space="preserve">  Storage</t>
  </si>
  <si>
    <t xml:space="preserve">  Federal and State Taxes</t>
  </si>
  <si>
    <t>Sub-Total Continuing Operations</t>
  </si>
  <si>
    <t>Administrative Expenses:</t>
  </si>
  <si>
    <t xml:space="preserve">  Legal</t>
  </si>
  <si>
    <t xml:space="preserve">  CPA Services / corrections</t>
  </si>
  <si>
    <t xml:space="preserve">  Recording and Releasing Fees</t>
  </si>
  <si>
    <t xml:space="preserve">  Annual Registration</t>
  </si>
  <si>
    <t xml:space="preserve">  Collection Fees (City &amp; Village Services)</t>
  </si>
  <si>
    <t xml:space="preserve">  Miscellaneous or Correction prior year</t>
  </si>
  <si>
    <t>Sub-Total Administrative</t>
  </si>
  <si>
    <t>Total Expenses</t>
  </si>
  <si>
    <t>Our Financial Statement Net Operating Cash</t>
  </si>
  <si>
    <t>Uncleared trns to Reserves per CV</t>
  </si>
  <si>
    <t>Add in Ourtstanding Checks noted as Expenses Above</t>
  </si>
  <si>
    <t>Our Adjusted Cash Balance</t>
  </si>
  <si>
    <t>Enterprise Bank Statement</t>
  </si>
  <si>
    <t>Difference</t>
  </si>
  <si>
    <t>Construction Deposit Account</t>
  </si>
  <si>
    <t>Bank Account Balance</t>
  </si>
  <si>
    <t>Accum Interest</t>
  </si>
  <si>
    <t>Sep 2020 Graystone</t>
  </si>
  <si>
    <t>outstanding deposit</t>
  </si>
  <si>
    <t xml:space="preserve">  fire house Enchanted Ct</t>
  </si>
  <si>
    <t>Unreconciled balance very old</t>
  </si>
  <si>
    <t xml:space="preserve">  believed Parrish on Guinever 1500.00 defauted deposit as built 3 yrs</t>
  </si>
  <si>
    <t>reconciled no differences</t>
  </si>
  <si>
    <t>Month/Year</t>
  </si>
  <si>
    <t>Activity</t>
  </si>
  <si>
    <t>Contact Info</t>
  </si>
  <si>
    <t>Address</t>
  </si>
  <si>
    <t>Construction</t>
  </si>
  <si>
    <t>Type</t>
  </si>
  <si>
    <t>Debit</t>
  </si>
  <si>
    <t>Credit</t>
  </si>
  <si>
    <t>Balance</t>
  </si>
  <si>
    <t>YE Dec 2018</t>
  </si>
  <si>
    <t>Beginning Balance 2018</t>
  </si>
  <si>
    <t>Gibbons, Michael &amp; Susan</t>
  </si>
  <si>
    <t>5423 Guinevere Dr</t>
  </si>
  <si>
    <t>deck</t>
  </si>
  <si>
    <t>deposit</t>
  </si>
  <si>
    <t>na</t>
  </si>
  <si>
    <t>Miller, James &amp; Cheryl Sudbrock</t>
  </si>
  <si>
    <t>304 Perceval Ct</t>
  </si>
  <si>
    <t>fence</t>
  </si>
  <si>
    <t>refund</t>
  </si>
  <si>
    <t>Clayton, Donald &amp; Adrienne</t>
  </si>
  <si>
    <t>claytonfamily.ac@gmail.com</t>
  </si>
  <si>
    <t>352 Galahad Dr</t>
  </si>
  <si>
    <t>Sanderson, Arthur &amp; Nyla</t>
  </si>
  <si>
    <t>322 Merlin Ct</t>
  </si>
  <si>
    <t>from 2018</t>
  </si>
  <si>
    <t>interest</t>
  </si>
  <si>
    <t>Brogan, Terry &amp; Deborah</t>
  </si>
  <si>
    <t>tbrogan@paynecrest.com</t>
  </si>
  <si>
    <t>4/31/2020</t>
  </si>
  <si>
    <t>YTD Interest</t>
  </si>
  <si>
    <t>Mth interest</t>
  </si>
  <si>
    <t>Foster, Michael</t>
  </si>
  <si>
    <t>mfoster@rgare.com</t>
  </si>
  <si>
    <t>sports court</t>
  </si>
  <si>
    <t>Blalock, Rick</t>
  </si>
  <si>
    <t>docrickjr@gmail.com</t>
  </si>
  <si>
    <t>363 Galahad Ct</t>
  </si>
  <si>
    <t>fence partial</t>
  </si>
  <si>
    <t>Maddox, Chris &amp; Lisa</t>
  </si>
  <si>
    <t>cmaddox07@gmail.com</t>
  </si>
  <si>
    <t>5412 Gareth</t>
  </si>
  <si>
    <t>pool</t>
  </si>
  <si>
    <t>Fugina, Rob &amp; Julie</t>
  </si>
  <si>
    <t>julie@fugina.com</t>
  </si>
  <si>
    <t>5305 Enchanted Ct</t>
  </si>
  <si>
    <t>gazebo</t>
  </si>
  <si>
    <t>5420 Gareth</t>
  </si>
  <si>
    <t>Federer, Ted &amp; Pam</t>
  </si>
  <si>
    <t>5422 Guinevere</t>
  </si>
  <si>
    <t>pavilian</t>
  </si>
  <si>
    <t>Mahon, Bill &amp; Laurel</t>
  </si>
  <si>
    <t>wbmahon@gmail.com</t>
  </si>
  <si>
    <t xml:space="preserve">5417 Gareth </t>
  </si>
  <si>
    <t>Graystone Builders</t>
  </si>
  <si>
    <t>timothymartin54@gmail.com</t>
  </si>
  <si>
    <t>5317 Enchanted</t>
  </si>
  <si>
    <t>house</t>
  </si>
  <si>
    <t>Brands, John</t>
  </si>
  <si>
    <t>237 Camelot</t>
  </si>
  <si>
    <t>patio</t>
  </si>
  <si>
    <t>YE Dec 2020</t>
  </si>
  <si>
    <t>Topping, Vivienne</t>
  </si>
  <si>
    <t>vivtopping@gmail.com</t>
  </si>
  <si>
    <t>372 Galahad</t>
  </si>
  <si>
    <t>Deters, Joe &amp; Amy</t>
  </si>
  <si>
    <t>amydeters@gmail.com</t>
  </si>
  <si>
    <t>320 Perceval</t>
  </si>
  <si>
    <t>Gentry, Jeffery &amp; Brenda</t>
  </si>
  <si>
    <t>brenda@dznexp.net</t>
  </si>
  <si>
    <t>5434 Guinevere</t>
  </si>
  <si>
    <t>Kaftantzis Dimitri &amp; Rosie</t>
  </si>
  <si>
    <t>dimitrios.j.kaftantzis@boeing.com</t>
  </si>
  <si>
    <t>326 Merlin</t>
  </si>
  <si>
    <t>Mcvey, John &amp; Ashley</t>
  </si>
  <si>
    <t>ashbellm@hotmail.com</t>
  </si>
  <si>
    <t xml:space="preserve">5368 Tower Hill </t>
  </si>
  <si>
    <t>McDanial, Neal</t>
  </si>
  <si>
    <t>nkmcdaniel@msn.com</t>
  </si>
  <si>
    <t>205 Camelot</t>
  </si>
  <si>
    <t>Miller, James</t>
  </si>
  <si>
    <t>jamesfmiller52@yahoo.com</t>
  </si>
  <si>
    <t>304 Perceval</t>
  </si>
  <si>
    <t>YE Dec 2021</t>
  </si>
  <si>
    <t>Barta, Saber</t>
  </si>
  <si>
    <t>izza1984@aol.com</t>
  </si>
  <si>
    <t>340 Galahad Dr</t>
  </si>
  <si>
    <t>Bross, Mike &amp; Deanna</t>
  </si>
  <si>
    <t>mike.bross@yahoo.com</t>
  </si>
  <si>
    <t>219 Caliburn Ct</t>
  </si>
  <si>
    <t>Rockamann, Mark &amp; Annmarie</t>
  </si>
  <si>
    <t>317 Perceval Dr</t>
  </si>
  <si>
    <t>Deck</t>
  </si>
  <si>
    <t>Wente, Lisa</t>
  </si>
  <si>
    <t>wente@att.net</t>
  </si>
  <si>
    <t>5322 Lancelot Dr</t>
  </si>
  <si>
    <t>Patio</t>
  </si>
  <si>
    <t>LaFaire, Lynette &amp; Jeremy</t>
  </si>
  <si>
    <t>jnllafaire@gmail.com</t>
  </si>
  <si>
    <t>5335 Lancelot Dr</t>
  </si>
  <si>
    <t>Retaining Wall</t>
  </si>
  <si>
    <t>Steven &amp; Heather Hagler</t>
  </si>
  <si>
    <t>heatherhagler@ymail.com</t>
  </si>
  <si>
    <t>5343 Lancelot</t>
  </si>
  <si>
    <t>decking</t>
  </si>
  <si>
    <t>Jos &amp; Diane Bertel</t>
  </si>
  <si>
    <t>jdbertel5@gmail.com</t>
  </si>
  <si>
    <t>348 Galahad Drive</t>
  </si>
  <si>
    <t>Robt &amp; Linda Triola</t>
  </si>
  <si>
    <t>wizard2rat@gmail.com</t>
  </si>
  <si>
    <t>207 Wizard Ct</t>
  </si>
  <si>
    <t>redeck</t>
  </si>
  <si>
    <t>Thomas &amp; Sharon Delaney</t>
  </si>
  <si>
    <t>drthomasd@charter.net</t>
  </si>
  <si>
    <t>5419 Guinevere Dr</t>
  </si>
  <si>
    <t>deck &amp; enclosure</t>
  </si>
  <si>
    <t>Osama and Angela Khoury</t>
  </si>
  <si>
    <t>anlellakoury22@gmail.com</t>
  </si>
  <si>
    <t>5304 Guinevere Drive</t>
  </si>
  <si>
    <t>no activity</t>
  </si>
  <si>
    <t>Debra Jones Orf</t>
  </si>
  <si>
    <t>debijonesorf@gmail.com</t>
  </si>
  <si>
    <t>5306 Lancelot Dr</t>
  </si>
  <si>
    <t>Craig and LeeAnn Ring</t>
  </si>
  <si>
    <t>cdlaring@gmail.com</t>
  </si>
  <si>
    <t>222 Caliburn Ct</t>
  </si>
  <si>
    <t>Mth Interest</t>
  </si>
  <si>
    <t>CAMELOT HOA: FINANCIALS FISCAL YEAR 2025</t>
  </si>
  <si>
    <t>YTD Actuals</t>
  </si>
  <si>
    <t>Forecast Mths</t>
  </si>
  <si>
    <t>Total Actuals</t>
  </si>
  <si>
    <t>FY 2025</t>
  </si>
  <si>
    <t>Capital Expenditures</t>
  </si>
  <si>
    <t>Annual Assessment Income</t>
  </si>
  <si>
    <t>Per Home</t>
  </si>
  <si>
    <t>Homes</t>
  </si>
  <si>
    <t>Revenue</t>
  </si>
  <si>
    <t>Trees: remove to low, disposal of tree, trimming</t>
  </si>
  <si>
    <t>Standard Operating Expenditures</t>
  </si>
  <si>
    <t>replace pond bridges (5k all bridges 2023)</t>
  </si>
  <si>
    <t>new forebay structure (56k Perceval lower2023)</t>
  </si>
  <si>
    <t>new trash racks (3k for one fabricated 2023)</t>
  </si>
  <si>
    <t>Grass: Cut, blow, trim, weeds, leaves, trigs, treatment, overseeding, sod, replaces bushes</t>
  </si>
  <si>
    <t>Ponds: inspections both water and ele/motor/aeration including all treatments and repairs, new drains/pipes, new aeration</t>
  </si>
  <si>
    <t>asphalt paths: repairs and sealing (24k 2024), new asphalt paths</t>
  </si>
  <si>
    <t xml:space="preserve">  this is ordinary income</t>
  </si>
  <si>
    <t>Reserves: revenue over planned ordinary income sufficient to cover 2 years</t>
  </si>
  <si>
    <t>Interest on Delinquent Assessments Paid</t>
  </si>
  <si>
    <t>Liab to CV for Assessment Payments 2%</t>
  </si>
  <si>
    <t>May 2025 Deters gazebo</t>
  </si>
  <si>
    <t xml:space="preserve">   Lake Banks &amp; Recontruction</t>
  </si>
  <si>
    <t>Michael &amp; Kathie Faszold</t>
  </si>
  <si>
    <t>314.981.1237</t>
  </si>
  <si>
    <t>5313 Enchanted Ct</t>
  </si>
  <si>
    <t>Sep Fashold pool need rcls from operating</t>
  </si>
  <si>
    <t>Matt &amp; Cheryl Burke</t>
  </si>
  <si>
    <t>clburke1@att.net</t>
  </si>
  <si>
    <t>5324 Enchanted Ct</t>
  </si>
  <si>
    <t xml:space="preserve">Pool </t>
  </si>
  <si>
    <t>Pool</t>
  </si>
  <si>
    <t>Sep Burke pool check in transit?</t>
  </si>
  <si>
    <t>NA</t>
  </si>
  <si>
    <t>Prepaid Assessments for 2026 Paid in Dec</t>
  </si>
  <si>
    <t xml:space="preserve">  Social &amp; Comm &amp; Monument Decor Expense</t>
  </si>
  <si>
    <t>12/31/2025  FINAL</t>
  </si>
  <si>
    <t>Prepaid Assessments on Account (none due)</t>
  </si>
  <si>
    <t xml:space="preserve">  Stormwater Sewers</t>
  </si>
  <si>
    <t xml:space="preserve">  Maintenance - Grounds Mowing, cleanup, tree removel etc</t>
  </si>
  <si>
    <t>Overpaid Assessements Paid In</t>
  </si>
  <si>
    <t xml:space="preserve">  Bridge Replacements </t>
  </si>
  <si>
    <t xml:space="preserve">  Irrigation Maintenance</t>
  </si>
  <si>
    <t xml:space="preserve">  Lake Management -fish, chem, areators, fountains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</si>
</sst>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.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b/>
      <u val="singleAccounting"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2"/>
      <color theme="3" tint="0.249977111117893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u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29">
    <xf numFmtId="0" fontId="0" fillId="0" borderId="0" xfId="0"/>
    <xf numFmtId="164" fontId="3" fillId="0" borderId="0" xfId="1" applyNumberFormat="1" applyFont="1" applyAlignment="1">
      <alignment horizontal="center"/>
    </xf>
    <xf numFmtId="164" fontId="0" fillId="0" borderId="0" xfId="1" applyNumberFormat="1" applyFont="1"/>
    <xf numFmtId="164" fontId="3" fillId="0" borderId="0" xfId="1" applyNumberFormat="1" applyFont="1"/>
    <xf numFmtId="165" fontId="0" fillId="0" borderId="0" xfId="1" applyNumberFormat="1" applyFont="1"/>
    <xf numFmtId="44" fontId="0" fillId="0" borderId="0" xfId="1" applyFont="1"/>
    <xf numFmtId="164" fontId="0" fillId="0" borderId="0" xfId="1" applyNumberFormat="1" applyFont="1" applyFill="1"/>
    <xf numFmtId="164" fontId="3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center" wrapText="1"/>
    </xf>
    <xf numFmtId="44" fontId="3" fillId="0" borderId="0" xfId="1" applyFont="1" applyAlignment="1">
      <alignment horizontal="right" wrapText="1"/>
    </xf>
    <xf numFmtId="165" fontId="3" fillId="0" borderId="0" xfId="1" applyNumberFormat="1" applyFont="1" applyAlignment="1">
      <alignment horizontal="right" wrapText="1"/>
    </xf>
    <xf numFmtId="164" fontId="3" fillId="0" borderId="0" xfId="1" applyNumberFormat="1" applyFont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0" fontId="5" fillId="0" borderId="0" xfId="1" applyNumberFormat="1" applyFont="1" applyAlignment="1">
      <alignment horizontal="right"/>
    </xf>
    <xf numFmtId="1" fontId="5" fillId="0" borderId="0" xfId="1" applyNumberFormat="1" applyFont="1" applyAlignment="1">
      <alignment horizontal="right" wrapText="1"/>
    </xf>
    <xf numFmtId="17" fontId="5" fillId="0" borderId="0" xfId="1" quotePrefix="1" applyNumberFormat="1" applyFont="1" applyAlignment="1">
      <alignment horizontal="right" wrapText="1"/>
    </xf>
    <xf numFmtId="0" fontId="5" fillId="0" borderId="0" xfId="1" quotePrefix="1" applyNumberFormat="1" applyFont="1" applyAlignment="1">
      <alignment horizontal="right" wrapText="1"/>
    </xf>
    <xf numFmtId="0" fontId="5" fillId="0" borderId="0" xfId="1" applyNumberFormat="1" applyFont="1" applyBorder="1" applyAlignment="1">
      <alignment horizontal="right"/>
    </xf>
    <xf numFmtId="0" fontId="5" fillId="0" borderId="0" xfId="1" quotePrefix="1" applyNumberFormat="1" applyFont="1" applyBorder="1" applyAlignment="1">
      <alignment horizontal="right"/>
    </xf>
    <xf numFmtId="0" fontId="5" fillId="0" borderId="0" xfId="1" quotePrefix="1" applyNumberFormat="1" applyFont="1" applyFill="1" applyAlignment="1">
      <alignment horizontal="right"/>
    </xf>
    <xf numFmtId="0" fontId="5" fillId="0" borderId="0" xfId="1" applyNumberFormat="1" applyFont="1"/>
    <xf numFmtId="44" fontId="5" fillId="0" borderId="0" xfId="1" applyFont="1" applyBorder="1"/>
    <xf numFmtId="164" fontId="5" fillId="0" borderId="0" xfId="1" applyNumberFormat="1" applyFont="1" applyBorder="1"/>
    <xf numFmtId="164" fontId="5" fillId="0" borderId="0" xfId="1" applyNumberFormat="1" applyFont="1" applyFill="1"/>
    <xf numFmtId="164" fontId="5" fillId="0" borderId="0" xfId="1" applyNumberFormat="1" applyFont="1"/>
    <xf numFmtId="165" fontId="3" fillId="0" borderId="0" xfId="1" applyNumberFormat="1" applyFont="1"/>
    <xf numFmtId="44" fontId="3" fillId="0" borderId="0" xfId="1" applyFont="1"/>
    <xf numFmtId="164" fontId="3" fillId="0" borderId="0" xfId="1" applyNumberFormat="1" applyFont="1" applyBorder="1"/>
    <xf numFmtId="164" fontId="3" fillId="0" borderId="0" xfId="1" applyNumberFormat="1" applyFont="1" applyFill="1"/>
    <xf numFmtId="164" fontId="3" fillId="2" borderId="0" xfId="1" applyNumberFormat="1" applyFont="1" applyFill="1"/>
    <xf numFmtId="165" fontId="3" fillId="2" borderId="0" xfId="1" applyNumberFormat="1" applyFont="1" applyFill="1"/>
    <xf numFmtId="164" fontId="3" fillId="2" borderId="0" xfId="1" applyNumberFormat="1" applyFont="1" applyFill="1" applyBorder="1"/>
    <xf numFmtId="44" fontId="0" fillId="0" borderId="0" xfId="1" applyFont="1" applyBorder="1"/>
    <xf numFmtId="164" fontId="0" fillId="0" borderId="0" xfId="1" applyNumberFormat="1" applyFont="1" applyBorder="1"/>
    <xf numFmtId="44" fontId="6" fillId="0" borderId="0" xfId="1" applyFont="1" applyBorder="1"/>
    <xf numFmtId="165" fontId="7" fillId="0" borderId="0" xfId="1" applyNumberFormat="1" applyFont="1"/>
    <xf numFmtId="44" fontId="7" fillId="0" borderId="0" xfId="1" applyFont="1" applyBorder="1"/>
    <xf numFmtId="164" fontId="7" fillId="0" borderId="0" xfId="1" applyNumberFormat="1" applyFont="1"/>
    <xf numFmtId="164" fontId="7" fillId="0" borderId="0" xfId="1" applyNumberFormat="1" applyFont="1" applyBorder="1"/>
    <xf numFmtId="164" fontId="7" fillId="0" borderId="0" xfId="1" applyNumberFormat="1" applyFont="1" applyFill="1"/>
    <xf numFmtId="44" fontId="3" fillId="0" borderId="0" xfId="1" applyFont="1" applyBorder="1"/>
    <xf numFmtId="164" fontId="5" fillId="0" borderId="0" xfId="1" applyNumberFormat="1" applyFont="1" applyAlignment="1">
      <alignment horizontal="right" wrapText="1"/>
    </xf>
    <xf numFmtId="165" fontId="8" fillId="0" borderId="0" xfId="1" applyNumberFormat="1" applyFont="1"/>
    <xf numFmtId="44" fontId="8" fillId="0" borderId="0" xfId="1" applyFont="1" applyBorder="1"/>
    <xf numFmtId="164" fontId="8" fillId="0" borderId="0" xfId="1" applyNumberFormat="1" applyFont="1"/>
    <xf numFmtId="164" fontId="8" fillId="0" borderId="0" xfId="1" applyNumberFormat="1" applyFont="1" applyBorder="1"/>
    <xf numFmtId="164" fontId="8" fillId="0" borderId="0" xfId="1" applyNumberFormat="1" applyFont="1" applyFill="1"/>
    <xf numFmtId="44" fontId="1" fillId="0" borderId="0" xfId="1" applyFont="1" applyBorder="1"/>
    <xf numFmtId="165" fontId="9" fillId="0" borderId="0" xfId="1" applyNumberFormat="1" applyFont="1"/>
    <xf numFmtId="44" fontId="10" fillId="0" borderId="0" xfId="1" applyFont="1" applyBorder="1"/>
    <xf numFmtId="164" fontId="0" fillId="0" borderId="0" xfId="1" applyNumberFormat="1" applyFont="1" applyAlignment="1">
      <alignment horizontal="right"/>
    </xf>
    <xf numFmtId="44" fontId="6" fillId="3" borderId="0" xfId="1" applyFont="1" applyFill="1" applyBorder="1"/>
    <xf numFmtId="164" fontId="0" fillId="3" borderId="0" xfId="1" applyNumberFormat="1" applyFont="1" applyFill="1" applyBorder="1"/>
    <xf numFmtId="164" fontId="5" fillId="0" borderId="0" xfId="1" applyNumberFormat="1" applyFont="1" applyAlignment="1">
      <alignment horizontal="center"/>
    </xf>
    <xf numFmtId="165" fontId="11" fillId="0" borderId="0" xfId="1" applyNumberFormat="1" applyFont="1"/>
    <xf numFmtId="44" fontId="12" fillId="0" borderId="0" xfId="1" applyFont="1" applyBorder="1"/>
    <xf numFmtId="164" fontId="12" fillId="0" borderId="0" xfId="1" applyNumberFormat="1" applyFont="1" applyBorder="1"/>
    <xf numFmtId="164" fontId="12" fillId="0" borderId="0" xfId="1" applyNumberFormat="1" applyFont="1" applyFill="1"/>
    <xf numFmtId="164" fontId="0" fillId="0" borderId="0" xfId="1" applyNumberFormat="1" applyFont="1" applyAlignment="1">
      <alignment horizontal="center"/>
    </xf>
    <xf numFmtId="164" fontId="13" fillId="0" borderId="0" xfId="1" applyNumberFormat="1" applyFont="1" applyBorder="1"/>
    <xf numFmtId="0" fontId="5" fillId="0" borderId="0" xfId="0" applyFont="1"/>
    <xf numFmtId="44" fontId="5" fillId="0" borderId="0" xfId="1" applyFont="1"/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6" fontId="0" fillId="0" borderId="0" xfId="1" applyNumberFormat="1" applyFont="1"/>
    <xf numFmtId="44" fontId="0" fillId="0" borderId="0" xfId="1" applyFont="1" applyFill="1"/>
    <xf numFmtId="14" fontId="9" fillId="4" borderId="0" xfId="0" applyNumberFormat="1" applyFont="1" applyFill="1" applyAlignment="1">
      <alignment horizontal="left"/>
    </xf>
    <xf numFmtId="0" fontId="9" fillId="4" borderId="0" xfId="0" applyFont="1" applyFill="1"/>
    <xf numFmtId="0" fontId="9" fillId="4" borderId="0" xfId="0" applyFont="1" applyFill="1" applyAlignment="1">
      <alignment horizontal="center"/>
    </xf>
    <xf numFmtId="166" fontId="9" fillId="4" borderId="0" xfId="1" applyNumberFormat="1" applyFont="1" applyFill="1" applyAlignment="1">
      <alignment horizontal="right"/>
    </xf>
    <xf numFmtId="166" fontId="17" fillId="4" borderId="0" xfId="1" applyNumberFormat="1" applyFont="1" applyFill="1" applyAlignment="1">
      <alignment horizontal="right"/>
    </xf>
    <xf numFmtId="44" fontId="9" fillId="4" borderId="0" xfId="1" applyFont="1" applyFill="1" applyAlignment="1">
      <alignment horizontal="right"/>
    </xf>
    <xf numFmtId="0" fontId="9" fillId="0" borderId="0" xfId="0" applyFont="1"/>
    <xf numFmtId="14" fontId="0" fillId="0" borderId="0" xfId="0" applyNumberFormat="1"/>
    <xf numFmtId="0" fontId="16" fillId="0" borderId="0" xfId="2" applyNumberFormat="1"/>
    <xf numFmtId="17" fontId="0" fillId="0" borderId="0" xfId="0" applyNumberFormat="1"/>
    <xf numFmtId="44" fontId="7" fillId="0" borderId="0" xfId="1" applyFont="1" applyFill="1"/>
    <xf numFmtId="0" fontId="16" fillId="0" borderId="0" xfId="2"/>
    <xf numFmtId="0" fontId="0" fillId="0" borderId="3" xfId="0" applyBorder="1" applyAlignment="1">
      <alignment horizontal="center"/>
    </xf>
    <xf numFmtId="166" fontId="0" fillId="0" borderId="0" xfId="1" applyNumberFormat="1" applyFont="1" applyFill="1"/>
    <xf numFmtId="164" fontId="3" fillId="5" borderId="1" xfId="1" applyNumberFormat="1" applyFont="1" applyFill="1" applyBorder="1" applyAlignment="1">
      <alignment horizontal="right" vertical="center"/>
    </xf>
    <xf numFmtId="0" fontId="5" fillId="5" borderId="2" xfId="1" applyNumberFormat="1" applyFont="1" applyFill="1" applyBorder="1" applyAlignment="1">
      <alignment horizontal="right" vertical="center"/>
    </xf>
    <xf numFmtId="164" fontId="5" fillId="5" borderId="2" xfId="1" applyNumberFormat="1" applyFont="1" applyFill="1" applyBorder="1"/>
    <xf numFmtId="164" fontId="3" fillId="5" borderId="2" xfId="1" applyNumberFormat="1" applyFont="1" applyFill="1" applyBorder="1"/>
    <xf numFmtId="164" fontId="0" fillId="5" borderId="2" xfId="1" applyNumberFormat="1" applyFont="1" applyFill="1" applyBorder="1"/>
    <xf numFmtId="164" fontId="7" fillId="5" borderId="2" xfId="1" applyNumberFormat="1" applyFont="1" applyFill="1" applyBorder="1"/>
    <xf numFmtId="164" fontId="8" fillId="5" borderId="2" xfId="1" applyNumberFormat="1" applyFont="1" applyFill="1" applyBorder="1"/>
    <xf numFmtId="164" fontId="12" fillId="5" borderId="2" xfId="1" applyNumberFormat="1" applyFont="1" applyFill="1" applyBorder="1"/>
    <xf numFmtId="164" fontId="3" fillId="6" borderId="0" xfId="1" applyNumberFormat="1" applyFont="1" applyFill="1"/>
    <xf numFmtId="44" fontId="3" fillId="6" borderId="0" xfId="1" applyFont="1" applyFill="1" applyBorder="1"/>
    <xf numFmtId="164" fontId="3" fillId="6" borderId="0" xfId="1" applyNumberFormat="1" applyFont="1" applyFill="1" applyBorder="1"/>
    <xf numFmtId="164" fontId="5" fillId="6" borderId="0" xfId="1" applyNumberFormat="1" applyFont="1" applyFill="1" applyAlignment="1">
      <alignment horizontal="right"/>
    </xf>
    <xf numFmtId="165" fontId="8" fillId="6" borderId="0" xfId="1" applyNumberFormat="1" applyFont="1" applyFill="1"/>
    <xf numFmtId="44" fontId="8" fillId="6" borderId="0" xfId="1" applyFont="1" applyFill="1" applyBorder="1"/>
    <xf numFmtId="164" fontId="8" fillId="6" borderId="0" xfId="1" applyNumberFormat="1" applyFont="1" applyFill="1" applyBorder="1"/>
    <xf numFmtId="164" fontId="8" fillId="6" borderId="0" xfId="1" applyNumberFormat="1" applyFont="1" applyFill="1"/>
    <xf numFmtId="164" fontId="5" fillId="6" borderId="0" xfId="1" applyNumberFormat="1" applyFont="1" applyFill="1"/>
    <xf numFmtId="0" fontId="18" fillId="0" borderId="0" xfId="1" applyNumberFormat="1" applyFont="1" applyAlignment="1">
      <alignment horizontal="center" vertical="center"/>
    </xf>
    <xf numFmtId="44" fontId="3" fillId="6" borderId="0" xfId="1" applyFont="1" applyFill="1"/>
    <xf numFmtId="44" fontId="5" fillId="0" borderId="0" xfId="1" applyFont="1" applyAlignment="1">
      <alignment horizontal="right" wrapText="1"/>
    </xf>
    <xf numFmtId="44" fontId="0" fillId="0" borderId="0" xfId="1" applyFont="1" applyAlignment="1">
      <alignment horizontal="right"/>
    </xf>
    <xf numFmtId="44" fontId="19" fillId="0" borderId="0" xfId="1" applyFont="1" applyAlignment="1">
      <alignment horizontal="center"/>
    </xf>
    <xf numFmtId="44" fontId="7" fillId="0" borderId="0" xfId="1" applyFont="1"/>
    <xf numFmtId="44" fontId="0" fillId="0" borderId="0" xfId="0" applyNumberFormat="1"/>
    <xf numFmtId="44" fontId="7" fillId="0" borderId="0" xfId="1" applyFont="1" applyAlignment="1">
      <alignment horizontal="right"/>
    </xf>
    <xf numFmtId="44" fontId="0" fillId="6" borderId="0" xfId="1" applyFont="1" applyFill="1"/>
    <xf numFmtId="4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0" fillId="3" borderId="0" xfId="2" applyFont="1" applyFill="1"/>
    <xf numFmtId="0" fontId="6" fillId="3" borderId="0" xfId="0" applyFont="1" applyFill="1"/>
    <xf numFmtId="14" fontId="6" fillId="0" borderId="0" xfId="0" applyNumberFormat="1" applyFont="1" applyAlignment="1">
      <alignment horizontal="left"/>
    </xf>
    <xf numFmtId="0" fontId="6" fillId="0" borderId="0" xfId="0" applyFont="1"/>
    <xf numFmtId="0" fontId="20" fillId="0" borderId="0" xfId="2" applyFont="1" applyFill="1"/>
    <xf numFmtId="0" fontId="6" fillId="0" borderId="0" xfId="0" applyFont="1" applyAlignment="1">
      <alignment horizontal="center"/>
    </xf>
    <xf numFmtId="166" fontId="6" fillId="0" borderId="0" xfId="1" applyNumberFormat="1" applyFont="1" applyFill="1"/>
    <xf numFmtId="44" fontId="6" fillId="0" borderId="0" xfId="1" applyFont="1" applyFill="1"/>
    <xf numFmtId="17" fontId="18" fillId="0" borderId="0" xfId="1" applyNumberFormat="1" applyFont="1" applyAlignment="1">
      <alignment horizontal="center" vertical="center" wrapText="1"/>
    </xf>
    <xf numFmtId="164" fontId="3" fillId="7" borderId="0" xfId="1" applyNumberFormat="1" applyFont="1" applyFill="1" applyBorder="1" applyAlignment="1">
      <alignment horizontal="right" vertical="center"/>
    </xf>
    <xf numFmtId="0" fontId="5" fillId="7" borderId="0" xfId="1" applyNumberFormat="1" applyFont="1" applyFill="1" applyBorder="1" applyAlignment="1">
      <alignment horizontal="right" vertical="center"/>
    </xf>
    <xf numFmtId="164" fontId="5" fillId="7" borderId="0" xfId="1" applyNumberFormat="1" applyFont="1" applyFill="1" applyBorder="1"/>
    <xf numFmtId="164" fontId="3" fillId="7" borderId="0" xfId="1" applyNumberFormat="1" applyFont="1" applyFill="1" applyBorder="1"/>
    <xf numFmtId="164" fontId="0" fillId="7" borderId="0" xfId="1" applyNumberFormat="1" applyFont="1" applyFill="1" applyBorder="1"/>
    <xf numFmtId="164" fontId="7" fillId="7" borderId="0" xfId="1" applyNumberFormat="1" applyFont="1" applyFill="1" applyBorder="1"/>
    <xf numFmtId="164" fontId="8" fillId="7" borderId="0" xfId="1" applyNumberFormat="1" applyFont="1" applyFill="1" applyBorder="1"/>
    <xf numFmtId="164" fontId="12" fillId="7" borderId="0" xfId="1" applyNumberFormat="1" applyFont="1" applyFill="1" applyBorder="1"/>
    <xf numFmtId="14" fontId="5" fillId="0" borderId="0" xfId="0" applyNumberFormat="1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Anne Dunaway" id="{F731D3DC-11A2-40C5-A1A5-7E530F1201B7}" userId="933ebc06d9272f6c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48" dT="2024-12-03T08:09:27.93" personId="{F731D3DC-11A2-40C5-A1A5-7E530F1201B7}" id="{4C783A5C-4660-440D-B5FC-AA10B86AC1C2}">
    <text xml:space="preserve">Orf refund reclass to deposit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about:blank" TargetMode="External"/><Relationship Id="rId18" Type="http://schemas.openxmlformats.org/officeDocument/2006/relationships/hyperlink" Target="about:blank" TargetMode="External"/><Relationship Id="rId26" Type="http://schemas.openxmlformats.org/officeDocument/2006/relationships/hyperlink" Target="about:blank" TargetMode="External"/><Relationship Id="rId39" Type="http://schemas.openxmlformats.org/officeDocument/2006/relationships/hyperlink" Target="about:blank" TargetMode="External"/><Relationship Id="rId21" Type="http://schemas.openxmlformats.org/officeDocument/2006/relationships/hyperlink" Target="about:blank" TargetMode="External"/><Relationship Id="rId34" Type="http://schemas.openxmlformats.org/officeDocument/2006/relationships/hyperlink" Target="about:blank" TargetMode="External"/><Relationship Id="rId42" Type="http://schemas.openxmlformats.org/officeDocument/2006/relationships/hyperlink" Target="about:blank" TargetMode="External"/><Relationship Id="rId47" Type="http://schemas.openxmlformats.org/officeDocument/2006/relationships/hyperlink" Target="mailto:debijonesorf@gmail.com" TargetMode="External"/><Relationship Id="rId50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6" Type="http://schemas.openxmlformats.org/officeDocument/2006/relationships/hyperlink" Target="about:blank" TargetMode="External"/><Relationship Id="rId29" Type="http://schemas.openxmlformats.org/officeDocument/2006/relationships/hyperlink" Target="about:blank" TargetMode="External"/><Relationship Id="rId11" Type="http://schemas.openxmlformats.org/officeDocument/2006/relationships/hyperlink" Target="about:blank" TargetMode="External"/><Relationship Id="rId24" Type="http://schemas.openxmlformats.org/officeDocument/2006/relationships/hyperlink" Target="about:blank" TargetMode="External"/><Relationship Id="rId32" Type="http://schemas.openxmlformats.org/officeDocument/2006/relationships/hyperlink" Target="about:blank" TargetMode="External"/><Relationship Id="rId37" Type="http://schemas.openxmlformats.org/officeDocument/2006/relationships/hyperlink" Target="about:blank" TargetMode="External"/><Relationship Id="rId40" Type="http://schemas.openxmlformats.org/officeDocument/2006/relationships/hyperlink" Target="about:blank" TargetMode="External"/><Relationship Id="rId45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15" Type="http://schemas.openxmlformats.org/officeDocument/2006/relationships/hyperlink" Target="about:blank" TargetMode="External"/><Relationship Id="rId23" Type="http://schemas.openxmlformats.org/officeDocument/2006/relationships/hyperlink" Target="about:blank" TargetMode="External"/><Relationship Id="rId28" Type="http://schemas.openxmlformats.org/officeDocument/2006/relationships/hyperlink" Target="about:blank" TargetMode="External"/><Relationship Id="rId36" Type="http://schemas.openxmlformats.org/officeDocument/2006/relationships/hyperlink" Target="about:blank" TargetMode="External"/><Relationship Id="rId49" Type="http://schemas.openxmlformats.org/officeDocument/2006/relationships/hyperlink" Target="mailto:cdlaring@gmail.com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about:blank" TargetMode="External"/><Relationship Id="rId31" Type="http://schemas.openxmlformats.org/officeDocument/2006/relationships/hyperlink" Target="about:blank" TargetMode="External"/><Relationship Id="rId44" Type="http://schemas.openxmlformats.org/officeDocument/2006/relationships/hyperlink" Target="mailto:cdlaring@gmail.com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about:blank" TargetMode="External"/><Relationship Id="rId22" Type="http://schemas.openxmlformats.org/officeDocument/2006/relationships/hyperlink" Target="about:blank" TargetMode="External"/><Relationship Id="rId27" Type="http://schemas.openxmlformats.org/officeDocument/2006/relationships/hyperlink" Target="about:blank" TargetMode="External"/><Relationship Id="rId30" Type="http://schemas.openxmlformats.org/officeDocument/2006/relationships/hyperlink" Target="about:blank" TargetMode="External"/><Relationship Id="rId35" Type="http://schemas.openxmlformats.org/officeDocument/2006/relationships/hyperlink" Target="about:blank" TargetMode="External"/><Relationship Id="rId43" Type="http://schemas.openxmlformats.org/officeDocument/2006/relationships/hyperlink" Target="mailto:debijonesorf@gmail.com" TargetMode="External"/><Relationship Id="rId48" Type="http://schemas.openxmlformats.org/officeDocument/2006/relationships/hyperlink" Target="about:blank" TargetMode="External"/><Relationship Id="rId8" Type="http://schemas.openxmlformats.org/officeDocument/2006/relationships/hyperlink" Target="about:blank" TargetMode="External"/><Relationship Id="rId51" Type="http://schemas.openxmlformats.org/officeDocument/2006/relationships/hyperlink" Target="mailto:clburke1@att.net" TargetMode="External"/><Relationship Id="rId3" Type="http://schemas.openxmlformats.org/officeDocument/2006/relationships/hyperlink" Target="about:blank" TargetMode="External"/><Relationship Id="rId12" Type="http://schemas.openxmlformats.org/officeDocument/2006/relationships/hyperlink" Target="about:blank" TargetMode="External"/><Relationship Id="rId17" Type="http://schemas.openxmlformats.org/officeDocument/2006/relationships/hyperlink" Target="about:blank" TargetMode="External"/><Relationship Id="rId25" Type="http://schemas.openxmlformats.org/officeDocument/2006/relationships/hyperlink" Target="about:blank" TargetMode="External"/><Relationship Id="rId33" Type="http://schemas.openxmlformats.org/officeDocument/2006/relationships/hyperlink" Target="about:blank" TargetMode="External"/><Relationship Id="rId38" Type="http://schemas.openxmlformats.org/officeDocument/2006/relationships/hyperlink" Target="about:blank" TargetMode="External"/><Relationship Id="rId46" Type="http://schemas.openxmlformats.org/officeDocument/2006/relationships/hyperlink" Target="about:blank" TargetMode="External"/><Relationship Id="rId20" Type="http://schemas.openxmlformats.org/officeDocument/2006/relationships/hyperlink" Target="about:blank" TargetMode="External"/><Relationship Id="rId41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DA1C2-4018-42B0-B6C7-D57DD6643271}">
  <sheetPr>
    <pageSetUpPr fitToPage="1"/>
  </sheetPr>
  <dimension ref="A1:R243"/>
  <sheetViews>
    <sheetView tabSelected="1" zoomScaleNormal="100" workbookViewId="0">
      <pane xSplit="1" ySplit="2" topLeftCell="B3" activePane="bottomRight" state="frozen"/>
      <selection pane="topRight" activeCell="D1" sqref="D1"/>
      <selection pane="bottomLeft" activeCell="A5" sqref="A5"/>
      <selection pane="bottomRight" activeCell="A22" sqref="A22"/>
    </sheetView>
  </sheetViews>
  <sheetFormatPr defaultColWidth="2.109375" defaultRowHeight="14.4" x14ac:dyDescent="0.3"/>
  <cols>
    <col min="1" max="1" width="59.21875" style="2" customWidth="1"/>
    <col min="2" max="2" width="16.88671875" style="2" customWidth="1"/>
    <col min="3" max="4" width="16.77734375" style="2" hidden="1" customWidth="1"/>
    <col min="5" max="7" width="15.77734375" style="2" customWidth="1"/>
    <col min="8" max="10" width="15.77734375" style="4" customWidth="1"/>
    <col min="11" max="11" width="1.77734375" style="2" customWidth="1"/>
    <col min="12" max="12" width="16.21875" style="2" hidden="1" customWidth="1"/>
    <col min="13" max="13" width="1.77734375" style="4" hidden="1" customWidth="1"/>
    <col min="14" max="14" width="14.44140625" style="6" hidden="1" customWidth="1"/>
    <col min="15" max="15" width="1.77734375" style="2" customWidth="1"/>
    <col min="16" max="16" width="2.109375" style="2"/>
    <col min="17" max="17" width="10.33203125" style="2" customWidth="1"/>
    <col min="18" max="18" width="10.6640625" style="2" bestFit="1" customWidth="1"/>
    <col min="19" max="16384" width="2.109375" style="2"/>
  </cols>
  <sheetData>
    <row r="1" spans="1:18" s="7" customFormat="1" ht="14.4" customHeight="1" x14ac:dyDescent="0.3">
      <c r="B1" s="1" t="s">
        <v>184</v>
      </c>
      <c r="C1" s="1" t="s">
        <v>185</v>
      </c>
      <c r="D1" s="1" t="s">
        <v>186</v>
      </c>
      <c r="E1" s="83" t="s">
        <v>0</v>
      </c>
      <c r="F1" s="120" t="s">
        <v>0</v>
      </c>
      <c r="G1" s="9" t="s">
        <v>1</v>
      </c>
      <c r="H1" s="10" t="s">
        <v>1</v>
      </c>
      <c r="I1" s="10" t="s">
        <v>1</v>
      </c>
      <c r="J1" s="10" t="s">
        <v>1</v>
      </c>
      <c r="K1" s="11"/>
      <c r="L1" s="11" t="s">
        <v>1</v>
      </c>
      <c r="M1" s="8"/>
      <c r="N1" s="12" t="s">
        <v>1</v>
      </c>
    </row>
    <row r="2" spans="1:18" s="13" customFormat="1" ht="28.2" customHeight="1" x14ac:dyDescent="0.3">
      <c r="A2" s="100" t="s">
        <v>183</v>
      </c>
      <c r="B2" s="119" t="s">
        <v>220</v>
      </c>
      <c r="C2" s="100" t="s">
        <v>217</v>
      </c>
      <c r="D2" s="100" t="s">
        <v>187</v>
      </c>
      <c r="E2" s="84">
        <v>2025</v>
      </c>
      <c r="F2" s="121">
        <v>2026</v>
      </c>
      <c r="G2" s="16">
        <v>2024</v>
      </c>
      <c r="H2" s="15" t="s">
        <v>2</v>
      </c>
      <c r="I2" s="14">
        <v>2022</v>
      </c>
      <c r="J2" s="16" t="s">
        <v>3</v>
      </c>
      <c r="K2" s="17"/>
      <c r="L2" s="18" t="s">
        <v>4</v>
      </c>
      <c r="M2" s="8"/>
      <c r="N2" s="19" t="s">
        <v>5</v>
      </c>
    </row>
    <row r="3" spans="1:18" s="20" customFormat="1" ht="33.6" customHeight="1" x14ac:dyDescent="0.3">
      <c r="A3" s="20" t="s">
        <v>6</v>
      </c>
      <c r="B3" s="61">
        <v>174798.77</v>
      </c>
      <c r="C3" s="61"/>
      <c r="D3" s="61">
        <f>+B3</f>
        <v>174798.77</v>
      </c>
      <c r="E3" s="85">
        <v>174498.77</v>
      </c>
      <c r="F3" s="122">
        <f>+B52</f>
        <v>182875.12</v>
      </c>
      <c r="G3" s="21">
        <v>185820.32</v>
      </c>
      <c r="H3" s="21">
        <v>283054.15999999997</v>
      </c>
      <c r="I3" s="22">
        <v>251815</v>
      </c>
      <c r="J3" s="22">
        <v>211453.14</v>
      </c>
      <c r="K3" s="22"/>
      <c r="L3" s="22">
        <v>188283.46000000002</v>
      </c>
      <c r="M3" s="8"/>
      <c r="N3" s="23">
        <v>169104</v>
      </c>
      <c r="R3" s="24"/>
    </row>
    <row r="4" spans="1:18" s="3" customFormat="1" ht="15.6" x14ac:dyDescent="0.3">
      <c r="A4" s="24" t="s">
        <v>7</v>
      </c>
      <c r="B4" s="61"/>
      <c r="C4" s="61"/>
      <c r="D4" s="61"/>
      <c r="E4" s="86"/>
      <c r="F4" s="123"/>
      <c r="G4" s="26"/>
      <c r="H4" s="25"/>
      <c r="I4" s="25"/>
      <c r="J4" s="25"/>
      <c r="K4" s="27"/>
      <c r="L4" s="27"/>
      <c r="M4" s="25"/>
      <c r="N4" s="28"/>
    </row>
    <row r="5" spans="1:18" s="29" customFormat="1" x14ac:dyDescent="0.3">
      <c r="A5" s="91" t="s">
        <v>8</v>
      </c>
      <c r="B5" s="101">
        <f>41857+20930+9568+10166+2392+200+598+598+598</f>
        <v>86907</v>
      </c>
      <c r="C5" s="101">
        <v>0</v>
      </c>
      <c r="D5" s="101">
        <f>+B5+C5</f>
        <v>86907</v>
      </c>
      <c r="E5" s="86">
        <f>101660-13754</f>
        <v>87906</v>
      </c>
      <c r="F5" s="123">
        <f>+(657*170)-9198</f>
        <v>102492</v>
      </c>
      <c r="G5" s="92">
        <f>71958+1196+598+598+1196+598+598+598</f>
        <v>77340</v>
      </c>
      <c r="H5" s="93">
        <v>95482</v>
      </c>
      <c r="I5" s="91">
        <v>77039</v>
      </c>
      <c r="J5" s="93">
        <v>87363.839999999997</v>
      </c>
      <c r="K5" s="31"/>
      <c r="L5" s="31">
        <v>77400</v>
      </c>
      <c r="M5" s="30"/>
      <c r="N5" s="29">
        <v>75150</v>
      </c>
    </row>
    <row r="6" spans="1:18" s="29" customFormat="1" x14ac:dyDescent="0.3">
      <c r="A6" s="91" t="s">
        <v>218</v>
      </c>
      <c r="B6" s="101">
        <f>657*14</f>
        <v>9198</v>
      </c>
      <c r="C6" s="101">
        <v>0</v>
      </c>
      <c r="D6" s="108">
        <f t="shared" ref="D6:D13" si="0">SUM(B6:C6)</f>
        <v>9198</v>
      </c>
      <c r="E6" s="86">
        <v>0</v>
      </c>
      <c r="F6" s="123">
        <v>0</v>
      </c>
      <c r="G6" s="92">
        <v>13754</v>
      </c>
      <c r="H6" s="93">
        <v>0</v>
      </c>
      <c r="I6" s="91">
        <v>0</v>
      </c>
      <c r="J6" s="93">
        <v>0</v>
      </c>
      <c r="K6" s="31"/>
      <c r="L6" s="31"/>
      <c r="M6" s="30"/>
    </row>
    <row r="7" spans="1:18" s="29" customFormat="1" x14ac:dyDescent="0.3">
      <c r="A7" s="91" t="s">
        <v>221</v>
      </c>
      <c r="B7" s="101">
        <v>1500</v>
      </c>
      <c r="C7" s="101">
        <v>0</v>
      </c>
      <c r="D7" s="108">
        <f t="shared" ref="D7" si="1">SUM(B7:C7)</f>
        <v>1500</v>
      </c>
      <c r="E7" s="86">
        <v>0</v>
      </c>
      <c r="F7" s="123">
        <v>-1500</v>
      </c>
      <c r="G7" s="92">
        <v>0</v>
      </c>
      <c r="H7" s="93">
        <v>0</v>
      </c>
      <c r="I7" s="91">
        <v>0</v>
      </c>
      <c r="J7" s="93">
        <v>0</v>
      </c>
      <c r="K7" s="31"/>
      <c r="L7" s="31"/>
      <c r="M7" s="30"/>
    </row>
    <row r="8" spans="1:18" x14ac:dyDescent="0.3">
      <c r="A8" s="2" t="s">
        <v>9</v>
      </c>
      <c r="B8" s="5">
        <f>202.19+34.58+32.25+29.26+28.91+22.71+23.21</f>
        <v>373.10999999999996</v>
      </c>
      <c r="C8" s="5">
        <v>0</v>
      </c>
      <c r="D8" s="5">
        <f t="shared" si="0"/>
        <v>373.10999999999996</v>
      </c>
      <c r="E8" s="87">
        <v>700</v>
      </c>
      <c r="F8" s="124">
        <v>700</v>
      </c>
      <c r="G8" s="32">
        <f>58.37+31.37+30.91+27.92</f>
        <v>148.57</v>
      </c>
      <c r="H8" s="33">
        <f>85.31+67.08+563.07+38.7</f>
        <v>754.16000000000008</v>
      </c>
      <c r="I8" s="2">
        <v>161.49</v>
      </c>
      <c r="J8" s="33">
        <f>185.51+88.51</f>
        <v>274.02</v>
      </c>
      <c r="K8" s="33"/>
      <c r="L8" s="33">
        <v>563.30999999999995</v>
      </c>
      <c r="N8" s="6">
        <v>493</v>
      </c>
    </row>
    <row r="9" spans="1:18" x14ac:dyDescent="0.3">
      <c r="A9" s="2" t="s">
        <v>10</v>
      </c>
      <c r="B9" s="5">
        <v>0</v>
      </c>
      <c r="C9" s="5">
        <v>0</v>
      </c>
      <c r="D9" s="5">
        <f t="shared" si="0"/>
        <v>0</v>
      </c>
      <c r="E9" s="87">
        <v>0</v>
      </c>
      <c r="F9" s="124">
        <v>0</v>
      </c>
      <c r="G9" s="32">
        <f>210.91+13.47+26.94+17.96+101.15+87.75+31.43+31.43</f>
        <v>521.04</v>
      </c>
      <c r="H9" s="33">
        <v>0</v>
      </c>
      <c r="I9" s="2">
        <v>55</v>
      </c>
      <c r="J9" s="33">
        <v>55</v>
      </c>
      <c r="K9" s="33"/>
      <c r="L9" s="33">
        <f>165+223</f>
        <v>388</v>
      </c>
      <c r="N9" s="6">
        <f>110+68</f>
        <v>178</v>
      </c>
    </row>
    <row r="10" spans="1:18" ht="14.4" hidden="1" customHeight="1" x14ac:dyDescent="0.3">
      <c r="A10" s="2" t="s">
        <v>11</v>
      </c>
      <c r="B10" s="5"/>
      <c r="C10" s="5"/>
      <c r="D10" s="5">
        <f t="shared" si="0"/>
        <v>0</v>
      </c>
      <c r="E10" s="87">
        <v>0</v>
      </c>
      <c r="F10" s="124">
        <v>0</v>
      </c>
      <c r="G10" s="32">
        <v>0</v>
      </c>
      <c r="H10" s="33">
        <v>0</v>
      </c>
      <c r="I10" s="2">
        <v>0</v>
      </c>
      <c r="J10" s="33">
        <v>0</v>
      </c>
      <c r="K10" s="33"/>
      <c r="L10" s="33">
        <v>0</v>
      </c>
      <c r="N10" s="6">
        <v>0</v>
      </c>
    </row>
    <row r="11" spans="1:18" ht="14.4" customHeight="1" x14ac:dyDescent="0.3">
      <c r="A11" s="2" t="s">
        <v>204</v>
      </c>
      <c r="B11" s="5">
        <v>0</v>
      </c>
      <c r="C11" s="5">
        <v>0</v>
      </c>
      <c r="D11" s="5">
        <f t="shared" si="0"/>
        <v>0</v>
      </c>
      <c r="E11" s="87">
        <v>0</v>
      </c>
      <c r="F11" s="124">
        <v>0</v>
      </c>
      <c r="G11" s="32">
        <v>0</v>
      </c>
      <c r="H11" s="33">
        <v>0</v>
      </c>
      <c r="I11" s="2">
        <v>30498</v>
      </c>
      <c r="J11" s="33">
        <v>0</v>
      </c>
      <c r="K11" s="33"/>
      <c r="L11" s="33">
        <v>0</v>
      </c>
      <c r="N11" s="6">
        <v>0</v>
      </c>
    </row>
    <row r="12" spans="1:18" ht="13.8" customHeight="1" x14ac:dyDescent="0.3">
      <c r="A12" s="2" t="s">
        <v>203</v>
      </c>
      <c r="B12" s="5">
        <f>118.74+4.49+35.92+35.92+44.9+4.49+42.9</f>
        <v>287.36</v>
      </c>
      <c r="C12" s="5">
        <v>0</v>
      </c>
      <c r="D12" s="5">
        <f t="shared" si="0"/>
        <v>287.36</v>
      </c>
      <c r="E12" s="87">
        <v>0</v>
      </c>
      <c r="F12" s="124">
        <v>200</v>
      </c>
      <c r="G12" s="34">
        <v>0</v>
      </c>
      <c r="H12" s="33">
        <v>0</v>
      </c>
      <c r="I12" s="2">
        <v>0</v>
      </c>
      <c r="J12" s="33">
        <v>0</v>
      </c>
      <c r="K12" s="33"/>
      <c r="L12" s="33"/>
    </row>
    <row r="13" spans="1:18" ht="16.2" x14ac:dyDescent="0.45">
      <c r="A13" s="2" t="s">
        <v>12</v>
      </c>
      <c r="B13" s="105">
        <v>0</v>
      </c>
      <c r="C13" s="105">
        <v>0</v>
      </c>
      <c r="D13" s="5">
        <f t="shared" si="0"/>
        <v>0</v>
      </c>
      <c r="E13" s="88">
        <v>0</v>
      </c>
      <c r="F13" s="125">
        <v>0</v>
      </c>
      <c r="G13" s="36">
        <v>0</v>
      </c>
      <c r="H13" s="38">
        <v>0</v>
      </c>
      <c r="I13" s="37">
        <v>834.91</v>
      </c>
      <c r="J13" s="38">
        <v>619.78</v>
      </c>
      <c r="K13" s="38"/>
      <c r="L13" s="38">
        <v>62.59</v>
      </c>
      <c r="M13" s="35"/>
      <c r="N13" s="39">
        <v>84</v>
      </c>
    </row>
    <row r="14" spans="1:18" s="3" customFormat="1" ht="16.2" x14ac:dyDescent="0.45">
      <c r="A14" s="1" t="s">
        <v>13</v>
      </c>
      <c r="B14" s="104">
        <f>SUM(B5:B13)</f>
        <v>98265.47</v>
      </c>
      <c r="C14" s="104">
        <f t="shared" ref="C14:J14" si="2">SUM(C5:C13)</f>
        <v>0</v>
      </c>
      <c r="D14" s="104">
        <f>SUM(D5:D13)</f>
        <v>98265.47</v>
      </c>
      <c r="E14" s="86">
        <f t="shared" si="2"/>
        <v>88606</v>
      </c>
      <c r="F14" s="123">
        <f t="shared" ref="F14" si="3">SUM(F5:F13)</f>
        <v>101892</v>
      </c>
      <c r="G14" s="40">
        <f t="shared" si="2"/>
        <v>91763.61</v>
      </c>
      <c r="H14" s="40">
        <f t="shared" si="2"/>
        <v>96236.160000000003</v>
      </c>
      <c r="I14" s="3">
        <f t="shared" si="2"/>
        <v>108588.40000000001</v>
      </c>
      <c r="J14" s="40">
        <f t="shared" si="2"/>
        <v>88312.639999999999</v>
      </c>
      <c r="K14" s="27"/>
      <c r="L14" s="27">
        <f>SUM(L5:L13)</f>
        <v>78413.899999999994</v>
      </c>
      <c r="M14" s="25"/>
      <c r="N14" s="28">
        <f>SUM(N5:N13)</f>
        <v>75905</v>
      </c>
    </row>
    <row r="15" spans="1:18" x14ac:dyDescent="0.3">
      <c r="B15" s="5"/>
      <c r="C15" s="5"/>
      <c r="D15" s="5"/>
      <c r="E15" s="87"/>
      <c r="F15" s="124"/>
      <c r="G15" s="32"/>
      <c r="H15" s="33"/>
      <c r="I15" s="2"/>
      <c r="J15" s="33"/>
      <c r="K15" s="33"/>
      <c r="L15" s="33"/>
    </row>
    <row r="16" spans="1:18" s="24" customFormat="1" ht="17.399999999999999" x14ac:dyDescent="0.45">
      <c r="A16" s="41" t="s">
        <v>14</v>
      </c>
      <c r="B16" s="102">
        <f>+B14+B3</f>
        <v>273064.24</v>
      </c>
      <c r="C16" s="102">
        <f>+C14</f>
        <v>0</v>
      </c>
      <c r="D16" s="102">
        <f>+D14+D3</f>
        <v>273064.24</v>
      </c>
      <c r="E16" s="89">
        <f>+E3+E14</f>
        <v>263104.77</v>
      </c>
      <c r="F16" s="126">
        <f>+F3+F14</f>
        <v>284767.12</v>
      </c>
      <c r="G16" s="43">
        <f>+G3+G14</f>
        <v>277583.93</v>
      </c>
      <c r="H16" s="43">
        <f>+H3+H14</f>
        <v>379290.31999999995</v>
      </c>
      <c r="I16" s="44">
        <f>+I14+I3</f>
        <v>360403.4</v>
      </c>
      <c r="J16" s="45">
        <f>+J3+J14</f>
        <v>299765.78000000003</v>
      </c>
      <c r="K16" s="45"/>
      <c r="L16" s="45">
        <f>+L3+L14</f>
        <v>266697.36</v>
      </c>
      <c r="M16" s="42"/>
      <c r="N16" s="46">
        <f>+N3+N14</f>
        <v>245009</v>
      </c>
    </row>
    <row r="17" spans="1:14" x14ac:dyDescent="0.3">
      <c r="B17" s="5"/>
      <c r="C17" s="5"/>
      <c r="D17" s="5"/>
      <c r="E17" s="87"/>
      <c r="F17" s="124"/>
      <c r="G17" s="32"/>
      <c r="H17" s="33"/>
      <c r="I17" s="2"/>
      <c r="J17" s="33"/>
      <c r="K17" s="33"/>
      <c r="L17" s="33"/>
    </row>
    <row r="18" spans="1:14" ht="15.6" x14ac:dyDescent="0.3">
      <c r="A18" s="24" t="s">
        <v>15</v>
      </c>
      <c r="B18" s="61"/>
      <c r="C18" s="61"/>
      <c r="D18" s="61"/>
      <c r="E18" s="87"/>
      <c r="F18" s="124"/>
      <c r="G18" s="32"/>
      <c r="H18" s="33"/>
      <c r="I18" s="2"/>
      <c r="J18" s="33"/>
      <c r="K18" s="33"/>
      <c r="L18" s="33"/>
    </row>
    <row r="19" spans="1:14" x14ac:dyDescent="0.3">
      <c r="A19" s="3" t="s">
        <v>16</v>
      </c>
      <c r="B19" s="26"/>
      <c r="C19" s="26"/>
      <c r="D19" s="26"/>
      <c r="E19" s="87"/>
      <c r="F19" s="124"/>
      <c r="G19" s="32"/>
      <c r="H19" s="33"/>
      <c r="I19" s="2"/>
      <c r="J19" s="33"/>
      <c r="K19" s="33"/>
      <c r="L19" s="33"/>
    </row>
    <row r="20" spans="1:14" x14ac:dyDescent="0.3">
      <c r="A20" s="2" t="s">
        <v>223</v>
      </c>
      <c r="B20" s="5">
        <f>1682+1927.44+1398+1925+4677.5+4805+1328+1416+3500+1328+190</f>
        <v>24176.940000000002</v>
      </c>
      <c r="C20" s="5">
        <v>0</v>
      </c>
      <c r="D20" s="5">
        <f t="shared" ref="D20:D28" si="4">SUM(B20:C20)</f>
        <v>24176.940000000002</v>
      </c>
      <c r="E20" s="87">
        <v>31300</v>
      </c>
      <c r="F20" s="124">
        <v>24000</v>
      </c>
      <c r="G20" s="32">
        <f>1505+2587+2974+1960+27105+5073.14+3164.24-170+750+2665+10466.17</f>
        <v>58079.549999999996</v>
      </c>
      <c r="H20" s="33">
        <f>6462+2521.25+9520+11348+11227.72+2045.1+13461+6432.8-0.01+6705</f>
        <v>69722.86</v>
      </c>
      <c r="I20" s="2">
        <v>20194.740000000002</v>
      </c>
      <c r="J20" s="33">
        <f>15818.82+800</f>
        <v>16618.82</v>
      </c>
      <c r="K20" s="33"/>
      <c r="L20" s="33">
        <v>35095</v>
      </c>
      <c r="N20" s="6">
        <v>24080.5</v>
      </c>
    </row>
    <row r="21" spans="1:14" x14ac:dyDescent="0.3">
      <c r="A21" s="2" t="s">
        <v>227</v>
      </c>
      <c r="B21" s="5">
        <f>1187.6+4613.8+1743.1+1187.6+1187.6+1500+1187.6+1187.6+1187.6+700</f>
        <v>15682.500000000002</v>
      </c>
      <c r="C21" s="5">
        <v>0</v>
      </c>
      <c r="D21" s="5">
        <f t="shared" si="4"/>
        <v>15682.500000000002</v>
      </c>
      <c r="E21" s="87">
        <v>15600</v>
      </c>
      <c r="F21" s="124">
        <f>15000+750+1000</f>
        <v>16750</v>
      </c>
      <c r="G21" s="47">
        <f>5497.74+1141.92+1141.92+2613.05+1141.92+1141.92+1141.92+1391.92</f>
        <v>15212.310000000001</v>
      </c>
      <c r="H21" s="33">
        <f>1098+3798+1423+1098+1098+1098+5055.8</f>
        <v>14668.8</v>
      </c>
      <c r="I21" s="2">
        <v>5955.83</v>
      </c>
      <c r="J21" s="33">
        <v>6513.79</v>
      </c>
      <c r="K21" s="33"/>
      <c r="L21" s="33">
        <v>4723.6899999999996</v>
      </c>
      <c r="N21" s="6">
        <v>2082.0100000000002</v>
      </c>
    </row>
    <row r="22" spans="1:14" x14ac:dyDescent="0.3">
      <c r="A22" s="2" t="s">
        <v>226</v>
      </c>
      <c r="B22" s="5">
        <f>240+1202+320</f>
        <v>1762</v>
      </c>
      <c r="C22" s="5">
        <v>0</v>
      </c>
      <c r="D22" s="5">
        <f t="shared" si="4"/>
        <v>1762</v>
      </c>
      <c r="E22" s="87">
        <v>800</v>
      </c>
      <c r="F22" s="124">
        <v>800</v>
      </c>
      <c r="G22" s="47">
        <f>254.95+106.01+170</f>
        <v>530.96</v>
      </c>
      <c r="H22" s="33">
        <v>865.68</v>
      </c>
      <c r="I22" s="2">
        <v>509.76</v>
      </c>
      <c r="J22" s="33">
        <v>0</v>
      </c>
      <c r="K22" s="33"/>
      <c r="L22" s="33">
        <f>333+207</f>
        <v>540</v>
      </c>
      <c r="N22" s="6">
        <f>500.02+333</f>
        <v>833.02</v>
      </c>
    </row>
    <row r="23" spans="1:14" x14ac:dyDescent="0.3">
      <c r="A23" s="2" t="s">
        <v>225</v>
      </c>
      <c r="B23" s="5">
        <v>0</v>
      </c>
      <c r="C23" s="5">
        <v>0</v>
      </c>
      <c r="D23" s="5">
        <f t="shared" si="4"/>
        <v>0</v>
      </c>
      <c r="E23" s="87">
        <v>0</v>
      </c>
      <c r="F23" s="124">
        <v>0</v>
      </c>
      <c r="G23" s="47">
        <v>0</v>
      </c>
      <c r="H23" s="33">
        <v>5000</v>
      </c>
      <c r="I23" s="2">
        <v>0</v>
      </c>
      <c r="J23" s="33">
        <v>0</v>
      </c>
      <c r="K23" s="33"/>
      <c r="L23" s="33">
        <v>0</v>
      </c>
      <c r="N23" s="6">
        <v>0</v>
      </c>
    </row>
    <row r="24" spans="1:14" ht="14.4" hidden="1" customHeight="1" x14ac:dyDescent="0.3">
      <c r="A24" s="2" t="s">
        <v>17</v>
      </c>
      <c r="B24" s="5"/>
      <c r="C24" s="5">
        <f t="shared" ref="C24" si="5">+E24-B24</f>
        <v>0</v>
      </c>
      <c r="D24" s="5">
        <f t="shared" si="4"/>
        <v>0</v>
      </c>
      <c r="E24" s="87">
        <v>0</v>
      </c>
      <c r="F24" s="124">
        <v>0</v>
      </c>
      <c r="G24" s="47">
        <v>0</v>
      </c>
      <c r="H24" s="33">
        <v>0</v>
      </c>
      <c r="I24" s="2">
        <v>0</v>
      </c>
      <c r="J24" s="33">
        <v>0</v>
      </c>
      <c r="K24" s="33"/>
      <c r="L24" s="33">
        <v>0</v>
      </c>
      <c r="N24" s="6">
        <v>0</v>
      </c>
    </row>
    <row r="25" spans="1:14" x14ac:dyDescent="0.3">
      <c r="A25" s="2" t="s">
        <v>18</v>
      </c>
      <c r="B25" s="5">
        <f>646+7659.05+362.78+196-646</f>
        <v>8217.83</v>
      </c>
      <c r="C25" s="5">
        <v>0</v>
      </c>
      <c r="D25" s="5">
        <f t="shared" si="4"/>
        <v>8217.83</v>
      </c>
      <c r="E25" s="87">
        <v>5500</v>
      </c>
      <c r="F25" s="124">
        <v>0</v>
      </c>
      <c r="G25" s="34">
        <v>0</v>
      </c>
      <c r="H25" s="33">
        <v>379.22</v>
      </c>
      <c r="I25" s="2">
        <v>1492.2</v>
      </c>
      <c r="J25" s="33">
        <v>2074.4</v>
      </c>
      <c r="K25" s="33"/>
      <c r="L25" s="33">
        <v>32789</v>
      </c>
      <c r="N25" s="6">
        <v>0</v>
      </c>
    </row>
    <row r="26" spans="1:14" x14ac:dyDescent="0.3">
      <c r="A26" s="2" t="s">
        <v>206</v>
      </c>
      <c r="B26" s="5">
        <f>2235+4965</f>
        <v>7200</v>
      </c>
      <c r="C26" s="5">
        <v>0</v>
      </c>
      <c r="D26" s="5">
        <f t="shared" si="4"/>
        <v>7200</v>
      </c>
      <c r="E26" s="87">
        <v>0</v>
      </c>
      <c r="F26" s="124">
        <v>25000</v>
      </c>
      <c r="G26" s="34">
        <v>0</v>
      </c>
      <c r="H26" s="33">
        <f>63692+12039.28</f>
        <v>75731.28</v>
      </c>
      <c r="I26" s="2">
        <v>17650</v>
      </c>
      <c r="J26" s="33">
        <v>0</v>
      </c>
      <c r="K26" s="33"/>
      <c r="L26" s="33">
        <v>0</v>
      </c>
      <c r="N26" s="6">
        <v>0</v>
      </c>
    </row>
    <row r="27" spans="1:14" x14ac:dyDescent="0.3">
      <c r="A27" s="2" t="s">
        <v>222</v>
      </c>
      <c r="B27" s="5">
        <v>0</v>
      </c>
      <c r="C27" s="5">
        <v>0</v>
      </c>
      <c r="D27" s="5">
        <f t="shared" si="4"/>
        <v>0</v>
      </c>
      <c r="E27" s="87">
        <v>0</v>
      </c>
      <c r="F27" s="124">
        <v>30000</v>
      </c>
      <c r="G27" s="34">
        <v>0</v>
      </c>
      <c r="H27" s="33">
        <v>0</v>
      </c>
      <c r="I27" s="2">
        <v>0</v>
      </c>
      <c r="J27" s="33">
        <v>0</v>
      </c>
      <c r="K27" s="33"/>
      <c r="L27" s="33">
        <v>0</v>
      </c>
      <c r="N27" s="6">
        <v>0</v>
      </c>
    </row>
    <row r="28" spans="1:14" ht="16.2" x14ac:dyDescent="0.45">
      <c r="A28" s="2" t="s">
        <v>19</v>
      </c>
      <c r="B28" s="105">
        <v>426.75</v>
      </c>
      <c r="C28" s="105">
        <v>0</v>
      </c>
      <c r="D28" s="105">
        <f t="shared" si="4"/>
        <v>426.75</v>
      </c>
      <c r="E28" s="88">
        <v>500</v>
      </c>
      <c r="F28" s="125">
        <v>500</v>
      </c>
      <c r="G28" s="49">
        <v>0</v>
      </c>
      <c r="H28" s="38">
        <v>152.06</v>
      </c>
      <c r="I28" s="37">
        <v>2300.52</v>
      </c>
      <c r="J28" s="38">
        <v>1860.47</v>
      </c>
      <c r="K28" s="38"/>
      <c r="L28" s="38">
        <v>123.09</v>
      </c>
      <c r="M28" s="48"/>
      <c r="N28" s="39">
        <v>0</v>
      </c>
    </row>
    <row r="29" spans="1:14" x14ac:dyDescent="0.3">
      <c r="A29" s="50" t="s">
        <v>20</v>
      </c>
      <c r="B29" s="103">
        <f>SUM(B20:B28)</f>
        <v>57466.020000000004</v>
      </c>
      <c r="C29" s="103">
        <f t="shared" ref="C29:J29" si="6">SUM(C20:C28)</f>
        <v>0</v>
      </c>
      <c r="D29" s="103">
        <f t="shared" si="6"/>
        <v>57466.020000000004</v>
      </c>
      <c r="E29" s="87">
        <f t="shared" si="6"/>
        <v>53700</v>
      </c>
      <c r="F29" s="124">
        <f t="shared" ref="F29" si="7">SUM(F20:F28)</f>
        <v>97050</v>
      </c>
      <c r="G29" s="34">
        <f t="shared" si="6"/>
        <v>73822.820000000007</v>
      </c>
      <c r="H29" s="33">
        <f t="shared" si="6"/>
        <v>166519.9</v>
      </c>
      <c r="I29" s="2">
        <f t="shared" si="6"/>
        <v>48103.049999999996</v>
      </c>
      <c r="J29" s="33">
        <f t="shared" si="6"/>
        <v>27067.480000000003</v>
      </c>
      <c r="K29" s="33"/>
      <c r="L29" s="33">
        <f>SUM(L20:L28)</f>
        <v>73270.78</v>
      </c>
      <c r="N29" s="6">
        <f>SUM(N20:N28)</f>
        <v>26995.530000000002</v>
      </c>
    </row>
    <row r="30" spans="1:14" x14ac:dyDescent="0.3">
      <c r="A30" s="3" t="s">
        <v>21</v>
      </c>
      <c r="B30" s="26"/>
      <c r="C30" s="26"/>
      <c r="D30" s="26"/>
      <c r="E30" s="87"/>
      <c r="F30" s="124"/>
      <c r="G30" s="34"/>
      <c r="H30" s="33"/>
      <c r="I30" s="2"/>
      <c r="J30" s="33"/>
      <c r="K30" s="33"/>
      <c r="L30" s="33"/>
    </row>
    <row r="31" spans="1:14" x14ac:dyDescent="0.3">
      <c r="A31" s="2" t="s">
        <v>22</v>
      </c>
      <c r="B31" s="5">
        <f>11.44+22.6+1.05+6+10.08</f>
        <v>51.169999999999995</v>
      </c>
      <c r="C31" s="5">
        <v>0</v>
      </c>
      <c r="D31" s="5">
        <f t="shared" ref="D31:D33" si="8">SUM(B31:C31)</f>
        <v>51.169999999999995</v>
      </c>
      <c r="E31" s="87">
        <v>300</v>
      </c>
      <c r="F31" s="124">
        <v>200</v>
      </c>
      <c r="G31" s="34">
        <f>6+20.46+277.1</f>
        <v>303.56</v>
      </c>
      <c r="H31" s="33">
        <v>0</v>
      </c>
      <c r="I31" s="2">
        <v>156.24</v>
      </c>
      <c r="J31" s="33">
        <f>128.43+70.98</f>
        <v>199.41000000000003</v>
      </c>
      <c r="K31" s="33"/>
      <c r="L31" s="33">
        <f>244.85+220.3</f>
        <v>465.15</v>
      </c>
      <c r="N31" s="6">
        <f>226.33+108.8</f>
        <v>335.13</v>
      </c>
    </row>
    <row r="32" spans="1:14" x14ac:dyDescent="0.3">
      <c r="A32" s="2" t="s">
        <v>23</v>
      </c>
      <c r="B32" s="5">
        <v>375</v>
      </c>
      <c r="C32" s="5">
        <v>0</v>
      </c>
      <c r="D32" s="5">
        <f t="shared" si="8"/>
        <v>375</v>
      </c>
      <c r="E32" s="87">
        <v>345</v>
      </c>
      <c r="F32" s="124">
        <v>375</v>
      </c>
      <c r="G32" s="34">
        <v>556</v>
      </c>
      <c r="H32" s="33">
        <v>345</v>
      </c>
      <c r="I32" s="2">
        <v>160</v>
      </c>
      <c r="J32" s="33">
        <v>523</v>
      </c>
      <c r="K32" s="33"/>
      <c r="L32" s="33">
        <v>494</v>
      </c>
      <c r="N32" s="6">
        <v>185</v>
      </c>
    </row>
    <row r="33" spans="1:14" ht="16.2" x14ac:dyDescent="0.45">
      <c r="A33" s="2" t="s">
        <v>219</v>
      </c>
      <c r="B33" s="105">
        <f>100.6+127.12</f>
        <v>227.72</v>
      </c>
      <c r="C33" s="105">
        <v>0</v>
      </c>
      <c r="D33" s="105">
        <f t="shared" si="8"/>
        <v>227.72</v>
      </c>
      <c r="E33" s="88">
        <v>433</v>
      </c>
      <c r="F33" s="125">
        <v>250</v>
      </c>
      <c r="G33" s="49">
        <f>33.37+112.56</f>
        <v>145.93</v>
      </c>
      <c r="H33" s="38">
        <f>81.49+99.9+233.57+112.2+56.1</f>
        <v>583.26</v>
      </c>
      <c r="I33" s="37">
        <v>97.37</v>
      </c>
      <c r="J33" s="38">
        <v>256.13</v>
      </c>
      <c r="K33" s="38"/>
      <c r="L33" s="38">
        <f>449.48+103.46</f>
        <v>552.94000000000005</v>
      </c>
      <c r="M33" s="48"/>
      <c r="N33" s="39">
        <v>233.64</v>
      </c>
    </row>
    <row r="34" spans="1:14" x14ac:dyDescent="0.3">
      <c r="A34" s="50" t="s">
        <v>24</v>
      </c>
      <c r="B34" s="103">
        <f>SUM(B31:B33)</f>
        <v>653.89</v>
      </c>
      <c r="C34" s="103">
        <f t="shared" ref="C34:D34" si="9">SUM(C31:C33)</f>
        <v>0</v>
      </c>
      <c r="D34" s="103">
        <f t="shared" si="9"/>
        <v>653.89</v>
      </c>
      <c r="E34" s="87">
        <f t="shared" ref="E34:J34" si="10">SUM(E31:E33)</f>
        <v>1078</v>
      </c>
      <c r="F34" s="124">
        <f t="shared" si="10"/>
        <v>825</v>
      </c>
      <c r="G34" s="34">
        <f t="shared" si="10"/>
        <v>1005.49</v>
      </c>
      <c r="H34" s="33">
        <f t="shared" si="10"/>
        <v>928.26</v>
      </c>
      <c r="I34" s="2">
        <f t="shared" si="10"/>
        <v>413.61</v>
      </c>
      <c r="J34" s="33">
        <f t="shared" si="10"/>
        <v>978.54000000000008</v>
      </c>
      <c r="K34" s="33"/>
      <c r="L34" s="33">
        <f>SUM(L31:L33)</f>
        <v>1512.0900000000001</v>
      </c>
      <c r="N34" s="6">
        <f>SUM(N31:N33)</f>
        <v>753.77</v>
      </c>
    </row>
    <row r="35" spans="1:14" x14ac:dyDescent="0.3">
      <c r="A35" s="3" t="s">
        <v>25</v>
      </c>
      <c r="B35" s="26"/>
      <c r="C35" s="26"/>
      <c r="D35" s="26"/>
      <c r="E35" s="87"/>
      <c r="F35" s="124"/>
      <c r="G35" s="34"/>
      <c r="H35" s="33"/>
      <c r="I35" s="2"/>
      <c r="J35" s="33"/>
      <c r="K35" s="33"/>
      <c r="L35" s="33"/>
    </row>
    <row r="36" spans="1:14" x14ac:dyDescent="0.3">
      <c r="A36" s="2" t="s">
        <v>26</v>
      </c>
      <c r="B36" s="5">
        <f>1880+3634</f>
        <v>5514</v>
      </c>
      <c r="C36" s="5">
        <v>0</v>
      </c>
      <c r="D36" s="5">
        <f>SUM(B36:C36)</f>
        <v>5514</v>
      </c>
      <c r="E36" s="87">
        <v>5500</v>
      </c>
      <c r="F36" s="124">
        <v>5800</v>
      </c>
      <c r="G36" s="34">
        <f>3377+1880</f>
        <v>5257</v>
      </c>
      <c r="H36" s="33">
        <f>3045+1960</f>
        <v>5005</v>
      </c>
      <c r="I36" s="2">
        <v>4863</v>
      </c>
      <c r="J36" s="33">
        <v>4163</v>
      </c>
      <c r="K36" s="33"/>
      <c r="L36" s="33">
        <v>3823</v>
      </c>
      <c r="N36" s="6">
        <v>3805.3</v>
      </c>
    </row>
    <row r="37" spans="1:14" x14ac:dyDescent="0.3">
      <c r="A37" s="2" t="s">
        <v>27</v>
      </c>
      <c r="B37" s="5">
        <f>1232.14+1200.91+1309.33+1214.61+1301.65+1371.41+1369.12-94.14+1363.1+2765.23+1355.49+1399.98+1303.82</f>
        <v>17092.649999999998</v>
      </c>
      <c r="C37" s="5">
        <v>0</v>
      </c>
      <c r="D37" s="5">
        <f>SUM(B37:C37)</f>
        <v>17092.649999999998</v>
      </c>
      <c r="E37" s="87">
        <v>14500</v>
      </c>
      <c r="F37" s="124">
        <v>16000</v>
      </c>
      <c r="G37" s="34">
        <f>5476.16+4690.57+218.9+1320.25+1278.34+1319.11</f>
        <v>14303.33</v>
      </c>
      <c r="H37" s="33">
        <v>13771.52</v>
      </c>
      <c r="I37" s="2">
        <v>13157.58</v>
      </c>
      <c r="J37" s="33">
        <f>11904.84</f>
        <v>11904.84</v>
      </c>
      <c r="K37" s="33"/>
      <c r="L37" s="33">
        <v>14208.74</v>
      </c>
      <c r="N37" s="6">
        <v>13120.22</v>
      </c>
    </row>
    <row r="38" spans="1:14" x14ac:dyDescent="0.3">
      <c r="A38" s="2" t="s">
        <v>28</v>
      </c>
      <c r="B38" s="5">
        <f>18.71+18.71+18.71+18.71+42.12+44.98+46.36+276+662.48+396.99+40.75+47.48</f>
        <v>1632</v>
      </c>
      <c r="C38" s="5">
        <v>0</v>
      </c>
      <c r="D38" s="5">
        <f t="shared" ref="D38:D40" si="11">SUM(B38:C38)</f>
        <v>1632</v>
      </c>
      <c r="E38" s="87">
        <v>500</v>
      </c>
      <c r="F38" s="124">
        <v>500</v>
      </c>
      <c r="G38" s="34">
        <f>56.13+25.67+98.74+103.96+94.39+101.57+67.65+67.65+45+18.71</f>
        <v>679.47</v>
      </c>
      <c r="H38" s="33">
        <v>657.15</v>
      </c>
      <c r="I38" s="2">
        <v>235.75</v>
      </c>
      <c r="J38" s="33">
        <v>0</v>
      </c>
      <c r="K38" s="33"/>
      <c r="L38" s="33">
        <v>207.53</v>
      </c>
      <c r="N38" s="6">
        <v>562.71</v>
      </c>
    </row>
    <row r="39" spans="1:14" x14ac:dyDescent="0.3">
      <c r="A39" s="2" t="s">
        <v>29</v>
      </c>
      <c r="B39" s="5">
        <v>715</v>
      </c>
      <c r="C39" s="5">
        <f t="shared" ref="C39" si="12">+E39-B39</f>
        <v>0</v>
      </c>
      <c r="D39" s="5">
        <f t="shared" si="11"/>
        <v>715</v>
      </c>
      <c r="E39" s="87">
        <v>715</v>
      </c>
      <c r="F39" s="124">
        <v>715</v>
      </c>
      <c r="G39" s="34">
        <v>715</v>
      </c>
      <c r="H39" s="33">
        <v>715</v>
      </c>
      <c r="I39" s="2">
        <v>466</v>
      </c>
      <c r="J39" s="33">
        <v>330</v>
      </c>
      <c r="K39" s="33"/>
      <c r="L39" s="33">
        <v>347.47</v>
      </c>
      <c r="N39" s="6">
        <v>0</v>
      </c>
    </row>
    <row r="40" spans="1:14" ht="16.2" x14ac:dyDescent="0.45">
      <c r="A40" s="2" t="s">
        <v>30</v>
      </c>
      <c r="B40" s="105">
        <f>13.13+17+131</f>
        <v>161.13</v>
      </c>
      <c r="C40" s="105">
        <v>0</v>
      </c>
      <c r="D40" s="105">
        <f t="shared" si="11"/>
        <v>161.13</v>
      </c>
      <c r="E40" s="88">
        <v>350</v>
      </c>
      <c r="F40" s="125">
        <v>200</v>
      </c>
      <c r="G40" s="49">
        <f>206+23</f>
        <v>229</v>
      </c>
      <c r="H40" s="38">
        <f>295+39.12</f>
        <v>334.12</v>
      </c>
      <c r="I40" s="37">
        <v>289</v>
      </c>
      <c r="J40" s="38">
        <f>378.77+18</f>
        <v>396.77</v>
      </c>
      <c r="K40" s="38"/>
      <c r="L40" s="38">
        <f>164+29</f>
        <v>193</v>
      </c>
      <c r="M40" s="48"/>
      <c r="N40" s="39">
        <f>79+12</f>
        <v>91</v>
      </c>
    </row>
    <row r="41" spans="1:14" x14ac:dyDescent="0.3">
      <c r="A41" s="50" t="s">
        <v>31</v>
      </c>
      <c r="B41" s="103">
        <f>SUM(B36:B40)</f>
        <v>25114.78</v>
      </c>
      <c r="C41" s="103">
        <f t="shared" ref="C41:D41" si="13">SUM(C36:C40)</f>
        <v>0</v>
      </c>
      <c r="D41" s="103">
        <f t="shared" si="13"/>
        <v>25114.78</v>
      </c>
      <c r="E41" s="87">
        <f t="shared" ref="E41:J41" si="14">SUM(E36:E40)</f>
        <v>21565</v>
      </c>
      <c r="F41" s="124">
        <f t="shared" si="14"/>
        <v>23215</v>
      </c>
      <c r="G41" s="34">
        <f t="shared" si="14"/>
        <v>21183.800000000003</v>
      </c>
      <c r="H41" s="33">
        <f t="shared" si="14"/>
        <v>20482.79</v>
      </c>
      <c r="I41" s="2">
        <f t="shared" si="14"/>
        <v>19011.330000000002</v>
      </c>
      <c r="J41" s="33">
        <f t="shared" si="14"/>
        <v>16794.61</v>
      </c>
      <c r="K41" s="33"/>
      <c r="L41" s="33">
        <f>SUM(L36:L40)</f>
        <v>18779.739999999998</v>
      </c>
      <c r="N41" s="6">
        <f>SUM(N36:N40)</f>
        <v>17579.23</v>
      </c>
    </row>
    <row r="42" spans="1:14" x14ac:dyDescent="0.3">
      <c r="A42" s="3" t="s">
        <v>32</v>
      </c>
      <c r="B42" s="26"/>
      <c r="C42" s="26"/>
      <c r="D42" s="26"/>
      <c r="E42" s="87"/>
      <c r="F42" s="124"/>
      <c r="G42" s="34"/>
      <c r="H42" s="33"/>
      <c r="I42" s="2"/>
      <c r="J42" s="33"/>
      <c r="K42" s="33"/>
      <c r="L42" s="33"/>
    </row>
    <row r="43" spans="1:14" x14ac:dyDescent="0.3">
      <c r="A43" s="2" t="s">
        <v>33</v>
      </c>
      <c r="B43" s="5">
        <f>83.85+998.98+838.45+670.76+1750.23+251.54</f>
        <v>4593.8100000000004</v>
      </c>
      <c r="C43" s="5">
        <v>0</v>
      </c>
      <c r="D43" s="5">
        <f t="shared" ref="D43:D48" si="15">SUM(B43:C43)</f>
        <v>4593.8100000000004</v>
      </c>
      <c r="E43" s="87">
        <v>7000</v>
      </c>
      <c r="F43" s="124">
        <v>5000</v>
      </c>
      <c r="G43" s="34">
        <f>178.15+2823.12+2022.85+199</f>
        <v>5223.12</v>
      </c>
      <c r="H43" s="33">
        <v>3597.7</v>
      </c>
      <c r="I43" s="2">
        <v>8370.69</v>
      </c>
      <c r="J43" s="33">
        <v>548.05999999999995</v>
      </c>
      <c r="K43" s="33"/>
      <c r="L43" s="33">
        <v>3495.42</v>
      </c>
      <c r="N43" s="6">
        <v>9619.14</v>
      </c>
    </row>
    <row r="44" spans="1:14" x14ac:dyDescent="0.3">
      <c r="A44" s="2" t="s">
        <v>34</v>
      </c>
      <c r="B44" s="5">
        <v>0</v>
      </c>
      <c r="C44" s="5">
        <f t="shared" ref="C44:C48" si="16">+E44-B44</f>
        <v>0</v>
      </c>
      <c r="D44" s="5">
        <f t="shared" si="15"/>
        <v>0</v>
      </c>
      <c r="E44" s="87">
        <v>0</v>
      </c>
      <c r="F44" s="124">
        <v>0</v>
      </c>
      <c r="G44" s="34">
        <v>0</v>
      </c>
      <c r="H44" s="33">
        <v>0</v>
      </c>
      <c r="I44" s="2">
        <v>0</v>
      </c>
      <c r="J44" s="33">
        <v>0.61</v>
      </c>
      <c r="K44" s="33"/>
      <c r="L44" s="33">
        <v>3013</v>
      </c>
      <c r="N44" s="6">
        <v>0</v>
      </c>
    </row>
    <row r="45" spans="1:14" x14ac:dyDescent="0.3">
      <c r="A45" s="2" t="s">
        <v>35</v>
      </c>
      <c r="B45" s="5">
        <v>0</v>
      </c>
      <c r="C45" s="5">
        <v>0</v>
      </c>
      <c r="D45" s="5">
        <f t="shared" si="15"/>
        <v>0</v>
      </c>
      <c r="E45" s="87">
        <v>150</v>
      </c>
      <c r="F45" s="124">
        <v>150</v>
      </c>
      <c r="G45" s="51">
        <v>0</v>
      </c>
      <c r="H45" s="52">
        <v>30</v>
      </c>
      <c r="I45" s="2">
        <v>48</v>
      </c>
      <c r="J45" s="33">
        <f>59.12+751.15</f>
        <v>810.27</v>
      </c>
      <c r="K45" s="33"/>
      <c r="L45" s="33">
        <v>144</v>
      </c>
      <c r="N45" s="6">
        <v>192</v>
      </c>
    </row>
    <row r="46" spans="1:14" ht="14.4" hidden="1" customHeight="1" x14ac:dyDescent="0.3">
      <c r="A46" s="2" t="s">
        <v>36</v>
      </c>
      <c r="B46" s="5"/>
      <c r="C46" s="5">
        <f t="shared" si="16"/>
        <v>0</v>
      </c>
      <c r="D46" s="5">
        <f t="shared" si="15"/>
        <v>0</v>
      </c>
      <c r="E46" s="87">
        <v>0</v>
      </c>
      <c r="F46" s="124">
        <v>0</v>
      </c>
      <c r="G46" s="34">
        <v>0</v>
      </c>
      <c r="H46" s="33">
        <v>0</v>
      </c>
      <c r="I46" s="2">
        <v>0</v>
      </c>
      <c r="J46" s="33">
        <v>0</v>
      </c>
      <c r="K46" s="33"/>
      <c r="L46" s="33">
        <v>0</v>
      </c>
      <c r="N46" s="6">
        <v>0</v>
      </c>
    </row>
    <row r="47" spans="1:14" x14ac:dyDescent="0.3">
      <c r="A47" s="2" t="s">
        <v>37</v>
      </c>
      <c r="B47" s="5">
        <f>1112.22+442.52+167.44+203.32+47.84+4+280.82+102.46</f>
        <v>2360.62</v>
      </c>
      <c r="C47" s="5">
        <v>0</v>
      </c>
      <c r="D47" s="5">
        <f t="shared" si="15"/>
        <v>2360.62</v>
      </c>
      <c r="E47" s="87">
        <f>101660*0.02</f>
        <v>2033.2</v>
      </c>
      <c r="F47" s="124">
        <v>2233</v>
      </c>
      <c r="G47" s="34">
        <f>1440.06+24.19+11.96+11.96+23.92+11.96+1.96+11.96+11.96</f>
        <v>1549.9300000000003</v>
      </c>
      <c r="H47" s="33">
        <v>1911.35</v>
      </c>
      <c r="I47" s="2">
        <v>2153.9700000000003</v>
      </c>
      <c r="J47" s="33">
        <v>1750.95</v>
      </c>
      <c r="K47" s="33"/>
      <c r="L47" s="33">
        <v>1552.49</v>
      </c>
      <c r="N47" s="6">
        <v>1504.37</v>
      </c>
    </row>
    <row r="48" spans="1:14" ht="16.2" x14ac:dyDescent="0.45">
      <c r="A48" s="2" t="s">
        <v>38</v>
      </c>
      <c r="B48" s="105">
        <v>0</v>
      </c>
      <c r="C48" s="105">
        <f t="shared" si="16"/>
        <v>0</v>
      </c>
      <c r="D48" s="105">
        <f t="shared" si="15"/>
        <v>0</v>
      </c>
      <c r="E48" s="88">
        <v>0</v>
      </c>
      <c r="F48" s="125">
        <v>0</v>
      </c>
      <c r="G48" s="49">
        <v>0</v>
      </c>
      <c r="H48" s="38">
        <v>0</v>
      </c>
      <c r="I48" s="37">
        <v>-751.15</v>
      </c>
      <c r="J48" s="38">
        <v>0</v>
      </c>
      <c r="K48" s="38"/>
      <c r="L48" s="38">
        <v>337</v>
      </c>
      <c r="M48" s="48"/>
      <c r="N48" s="39">
        <v>82</v>
      </c>
    </row>
    <row r="49" spans="1:14" x14ac:dyDescent="0.3">
      <c r="A49" s="50" t="s">
        <v>39</v>
      </c>
      <c r="B49" s="103">
        <f>SUM(B43:B48)</f>
        <v>6954.43</v>
      </c>
      <c r="C49" s="103">
        <f t="shared" ref="C49:D49" si="17">SUM(C43:C48)</f>
        <v>0</v>
      </c>
      <c r="D49" s="103">
        <f t="shared" si="17"/>
        <v>6954.43</v>
      </c>
      <c r="E49" s="87">
        <f t="shared" ref="E49:J49" si="18">SUM(E43:E48)</f>
        <v>9183.2000000000007</v>
      </c>
      <c r="F49" s="124">
        <f t="shared" si="18"/>
        <v>7383</v>
      </c>
      <c r="G49" s="34">
        <f t="shared" si="18"/>
        <v>6773.05</v>
      </c>
      <c r="H49" s="33">
        <f t="shared" si="18"/>
        <v>5539.0499999999993</v>
      </c>
      <c r="I49" s="2">
        <f t="shared" si="18"/>
        <v>9821.51</v>
      </c>
      <c r="J49" s="33">
        <f t="shared" si="18"/>
        <v>3109.8900000000003</v>
      </c>
      <c r="K49" s="33"/>
      <c r="L49" s="33">
        <f>SUM(L43:L48)</f>
        <v>8541.91</v>
      </c>
      <c r="N49" s="6">
        <f>SUM(N43:N48)</f>
        <v>11397.509999999998</v>
      </c>
    </row>
    <row r="50" spans="1:14" ht="12" customHeight="1" x14ac:dyDescent="0.3">
      <c r="B50" s="5"/>
      <c r="C50" s="5"/>
      <c r="D50" s="5"/>
      <c r="E50" s="87"/>
      <c r="F50" s="124"/>
      <c r="G50" s="47"/>
      <c r="H50" s="33"/>
      <c r="I50" s="2"/>
      <c r="J50" s="33"/>
      <c r="K50" s="33"/>
      <c r="L50" s="33"/>
    </row>
    <row r="51" spans="1:14" s="24" customFormat="1" ht="17.399999999999999" x14ac:dyDescent="0.45">
      <c r="A51" s="53" t="s">
        <v>40</v>
      </c>
      <c r="B51" s="55">
        <f>+B29+B34+B41+B49</f>
        <v>90189.119999999995</v>
      </c>
      <c r="C51" s="55">
        <f t="shared" ref="C51:D51" si="19">+C29+C34+C41+C49</f>
        <v>0</v>
      </c>
      <c r="D51" s="55">
        <f t="shared" si="19"/>
        <v>90189.119999999995</v>
      </c>
      <c r="E51" s="90">
        <f t="shared" ref="E51:J51" si="20">+E29+E34+E41+E49</f>
        <v>85526.2</v>
      </c>
      <c r="F51" s="127">
        <f t="shared" si="20"/>
        <v>128473</v>
      </c>
      <c r="G51" s="55">
        <f t="shared" si="20"/>
        <v>102785.16000000002</v>
      </c>
      <c r="H51" s="55">
        <f t="shared" si="20"/>
        <v>193470</v>
      </c>
      <c r="I51" s="55">
        <f t="shared" si="20"/>
        <v>77349.499999999985</v>
      </c>
      <c r="J51" s="55">
        <f t="shared" si="20"/>
        <v>47950.520000000004</v>
      </c>
      <c r="K51" s="56"/>
      <c r="L51" s="56">
        <f>+L29+L34+L41+L49</f>
        <v>102104.51999999999</v>
      </c>
      <c r="M51" s="54"/>
      <c r="N51" s="57">
        <f>+N29+N34+N41+N49</f>
        <v>56726.039999999994</v>
      </c>
    </row>
    <row r="52" spans="1:14" s="99" customFormat="1" ht="17.399999999999999" x14ac:dyDescent="0.45">
      <c r="A52" s="94" t="s">
        <v>41</v>
      </c>
      <c r="B52" s="96">
        <f>+B16-B51</f>
        <v>182875.12</v>
      </c>
      <c r="C52" s="96">
        <f>+C16-C51</f>
        <v>0</v>
      </c>
      <c r="D52" s="96">
        <f t="shared" ref="D52" si="21">+D16-D51</f>
        <v>182875.12</v>
      </c>
      <c r="E52" s="89">
        <f t="shared" ref="E52:J52" si="22">+E16-E51</f>
        <v>177578.57</v>
      </c>
      <c r="F52" s="126">
        <f t="shared" si="22"/>
        <v>156294.12</v>
      </c>
      <c r="G52" s="96">
        <f t="shared" si="22"/>
        <v>174798.76999999996</v>
      </c>
      <c r="H52" s="97">
        <f t="shared" si="22"/>
        <v>185820.31999999995</v>
      </c>
      <c r="I52" s="97">
        <f t="shared" si="22"/>
        <v>283053.90000000002</v>
      </c>
      <c r="J52" s="97">
        <f t="shared" si="22"/>
        <v>251815.26</v>
      </c>
      <c r="K52" s="97"/>
      <c r="L52" s="97">
        <f>+L16-L51</f>
        <v>164592.84</v>
      </c>
      <c r="M52" s="95"/>
      <c r="N52" s="98">
        <f>+N16-N51</f>
        <v>188282.96000000002</v>
      </c>
    </row>
    <row r="53" spans="1:14" hidden="1" x14ac:dyDescent="0.3">
      <c r="A53" s="50" t="s">
        <v>42</v>
      </c>
      <c r="B53" s="103"/>
      <c r="C53" s="103"/>
      <c r="D53" s="103"/>
      <c r="H53" s="5"/>
    </row>
    <row r="54" spans="1:14" hidden="1" x14ac:dyDescent="0.3">
      <c r="A54" s="50" t="s">
        <v>43</v>
      </c>
      <c r="B54" s="103"/>
      <c r="C54" s="103"/>
      <c r="D54" s="103"/>
      <c r="E54" s="5"/>
      <c r="F54" s="5"/>
      <c r="G54" s="5"/>
      <c r="H54" s="5"/>
      <c r="I54" s="5"/>
      <c r="J54" s="5"/>
      <c r="K54" s="58"/>
      <c r="L54" s="58"/>
    </row>
    <row r="55" spans="1:14" hidden="1" x14ac:dyDescent="0.3">
      <c r="A55" s="50" t="s">
        <v>44</v>
      </c>
      <c r="B55" s="103"/>
      <c r="C55" s="103"/>
      <c r="D55" s="103"/>
      <c r="E55" s="5"/>
      <c r="F55" s="5"/>
      <c r="G55" s="5"/>
      <c r="H55" s="5"/>
      <c r="I55" s="5"/>
      <c r="J55" s="5"/>
    </row>
    <row r="56" spans="1:14" ht="15.6" hidden="1" x14ac:dyDescent="0.3">
      <c r="A56" s="50" t="s">
        <v>45</v>
      </c>
      <c r="B56" s="103"/>
      <c r="C56" s="103"/>
      <c r="D56" s="103"/>
      <c r="E56" s="5"/>
      <c r="F56" s="5"/>
      <c r="G56" s="5"/>
      <c r="H56" s="5"/>
      <c r="I56" s="5"/>
      <c r="J56" s="5"/>
      <c r="K56" s="33"/>
      <c r="L56" s="33"/>
      <c r="M56" s="59"/>
    </row>
    <row r="57" spans="1:14" hidden="1" x14ac:dyDescent="0.3">
      <c r="A57" s="50" t="s">
        <v>46</v>
      </c>
      <c r="B57" s="103"/>
      <c r="C57" s="103"/>
      <c r="D57" s="103"/>
      <c r="E57" s="5"/>
      <c r="F57" s="5"/>
      <c r="G57" s="5"/>
      <c r="H57" s="5"/>
      <c r="I57" s="5"/>
      <c r="J57" s="5"/>
    </row>
    <row r="58" spans="1:14" x14ac:dyDescent="0.3">
      <c r="A58" s="50" t="s">
        <v>224</v>
      </c>
      <c r="B58" s="103">
        <f>999+88.49</f>
        <v>1087.49</v>
      </c>
      <c r="C58" s="103"/>
      <c r="D58" s="103" t="str">
        <f>+IF(D52=(B52+C52),"Balanced","FALSE")</f>
        <v>Balanced</v>
      </c>
      <c r="E58" s="5"/>
      <c r="F58" s="5"/>
      <c r="G58" s="5"/>
      <c r="H58" s="5"/>
      <c r="I58" s="5"/>
      <c r="J58" s="26"/>
    </row>
    <row r="59" spans="1:14" ht="16.2" x14ac:dyDescent="0.45">
      <c r="A59" s="50" t="s">
        <v>43</v>
      </c>
      <c r="B59" s="107">
        <f>4965+127.12+1303.82+280.82</f>
        <v>6676.7599999999993</v>
      </c>
      <c r="C59" s="103"/>
      <c r="D59" s="103"/>
      <c r="G59" s="5"/>
      <c r="H59" s="5"/>
      <c r="I59" s="5"/>
      <c r="J59" s="5"/>
    </row>
    <row r="60" spans="1:14" x14ac:dyDescent="0.3">
      <c r="A60" s="50" t="s">
        <v>44</v>
      </c>
      <c r="B60" s="103">
        <f>+B52+B58+B59</f>
        <v>190639.37</v>
      </c>
      <c r="C60" s="103"/>
      <c r="D60" s="103"/>
      <c r="E60" s="5"/>
      <c r="F60" s="5"/>
      <c r="G60" s="5"/>
      <c r="H60" s="5"/>
      <c r="I60" s="5"/>
      <c r="J60" s="5"/>
    </row>
    <row r="61" spans="1:14" x14ac:dyDescent="0.3">
      <c r="A61" s="50" t="s">
        <v>45</v>
      </c>
      <c r="B61" s="5">
        <v>190639.37</v>
      </c>
      <c r="C61" s="5"/>
      <c r="D61" s="5"/>
      <c r="E61" s="5"/>
      <c r="F61" s="5"/>
      <c r="G61" s="5"/>
      <c r="H61" s="5"/>
      <c r="I61" s="5"/>
      <c r="J61" s="5"/>
    </row>
    <row r="62" spans="1:14" x14ac:dyDescent="0.3">
      <c r="A62" s="50" t="s">
        <v>46</v>
      </c>
      <c r="B62" s="5">
        <f>+B61-B60</f>
        <v>0</v>
      </c>
      <c r="C62" s="5"/>
      <c r="D62" s="5"/>
      <c r="E62" s="5"/>
      <c r="F62" s="5"/>
      <c r="G62" s="5"/>
      <c r="H62" s="5"/>
      <c r="I62" s="5"/>
      <c r="J62" s="5"/>
    </row>
    <row r="63" spans="1:14" x14ac:dyDescent="0.3">
      <c r="B63" s="5"/>
      <c r="C63" s="5"/>
      <c r="D63" s="5"/>
      <c r="E63" s="5"/>
      <c r="F63" s="5"/>
      <c r="G63" s="5"/>
      <c r="H63" s="5"/>
      <c r="I63" s="5"/>
      <c r="J63" s="5"/>
    </row>
    <row r="64" spans="1:14" x14ac:dyDescent="0.3">
      <c r="B64" s="5"/>
      <c r="C64" s="5"/>
      <c r="D64" s="5"/>
      <c r="E64" s="5"/>
      <c r="F64" s="5"/>
      <c r="G64" s="5"/>
      <c r="H64" s="5"/>
      <c r="I64" s="5"/>
      <c r="J64" s="5"/>
    </row>
    <row r="65" spans="2:10" x14ac:dyDescent="0.3">
      <c r="B65" s="5"/>
      <c r="C65" s="5"/>
      <c r="D65" s="5"/>
      <c r="E65" s="5"/>
      <c r="F65" s="5"/>
      <c r="G65" s="5"/>
      <c r="H65" s="5"/>
      <c r="I65" s="5"/>
      <c r="J65" s="5"/>
    </row>
    <row r="66" spans="2:10" x14ac:dyDescent="0.3">
      <c r="B66" s="5"/>
      <c r="C66" s="5"/>
      <c r="D66" s="5"/>
      <c r="E66" s="5"/>
      <c r="F66" s="5"/>
      <c r="G66" s="5"/>
      <c r="H66" s="5"/>
      <c r="I66" s="5"/>
      <c r="J66" s="5"/>
    </row>
    <row r="67" spans="2:10" x14ac:dyDescent="0.3">
      <c r="B67" s="5"/>
      <c r="C67" s="5"/>
      <c r="D67" s="5"/>
      <c r="E67" s="5"/>
      <c r="F67" s="5"/>
      <c r="G67" s="5"/>
      <c r="H67" s="5"/>
      <c r="I67" s="5"/>
      <c r="J67" s="5"/>
    </row>
    <row r="68" spans="2:10" x14ac:dyDescent="0.3">
      <c r="B68" s="5"/>
      <c r="C68" s="5"/>
      <c r="D68" s="5"/>
      <c r="E68" s="5"/>
      <c r="F68" s="5"/>
      <c r="G68" s="5"/>
      <c r="H68" s="5"/>
      <c r="I68" s="5"/>
      <c r="J68" s="5"/>
    </row>
    <row r="69" spans="2:10" x14ac:dyDescent="0.3">
      <c r="B69" s="5"/>
      <c r="C69" s="5"/>
      <c r="D69" s="5"/>
      <c r="E69" s="5"/>
      <c r="F69" s="5"/>
      <c r="G69" s="5"/>
      <c r="H69" s="5"/>
      <c r="I69" s="5"/>
      <c r="J69" s="5"/>
    </row>
    <row r="70" spans="2:10" x14ac:dyDescent="0.3">
      <c r="B70" s="5"/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5"/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5"/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5"/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5"/>
      <c r="C74" s="5"/>
      <c r="D74" s="5"/>
      <c r="E74" s="5"/>
      <c r="F74" s="5"/>
      <c r="G74" s="5"/>
      <c r="H74" s="5"/>
      <c r="I74" s="5"/>
      <c r="J74" s="5"/>
    </row>
    <row r="75" spans="2:10" x14ac:dyDescent="0.3">
      <c r="B75" s="5"/>
      <c r="C75" s="5"/>
      <c r="D75" s="5"/>
      <c r="E75" s="5"/>
      <c r="F75" s="5"/>
      <c r="G75" s="5"/>
      <c r="H75" s="5"/>
      <c r="I75" s="5"/>
      <c r="J75" s="5"/>
    </row>
    <row r="76" spans="2:10" x14ac:dyDescent="0.3">
      <c r="B76" s="5"/>
      <c r="C76" s="5"/>
      <c r="D76" s="5"/>
      <c r="E76" s="5"/>
      <c r="F76" s="5"/>
      <c r="G76" s="5"/>
      <c r="H76" s="5"/>
      <c r="I76" s="5"/>
      <c r="J76" s="5"/>
    </row>
    <row r="77" spans="2:10" x14ac:dyDescent="0.3">
      <c r="B77" s="5"/>
      <c r="C77" s="5"/>
      <c r="D77" s="5"/>
      <c r="E77" s="5"/>
      <c r="F77" s="5"/>
      <c r="G77" s="5"/>
      <c r="H77" s="5"/>
      <c r="I77" s="5"/>
      <c r="J77" s="5"/>
    </row>
    <row r="78" spans="2:10" x14ac:dyDescent="0.3">
      <c r="B78" s="5"/>
      <c r="C78" s="5"/>
      <c r="D78" s="5"/>
      <c r="E78" s="5"/>
      <c r="F78" s="5"/>
      <c r="G78" s="5"/>
      <c r="H78" s="5"/>
      <c r="I78" s="5"/>
      <c r="J78" s="5"/>
    </row>
    <row r="79" spans="2:10" x14ac:dyDescent="0.3">
      <c r="B79" s="5"/>
      <c r="C79" s="5"/>
      <c r="D79" s="5"/>
      <c r="E79" s="5"/>
      <c r="F79" s="5"/>
      <c r="G79" s="5"/>
      <c r="H79" s="5"/>
      <c r="I79" s="5"/>
      <c r="J79" s="5"/>
    </row>
    <row r="80" spans="2:10" x14ac:dyDescent="0.3">
      <c r="B80" s="5"/>
      <c r="C80" s="5"/>
      <c r="D80" s="5"/>
      <c r="E80" s="5"/>
      <c r="F80" s="5"/>
      <c r="G80" s="5"/>
      <c r="H80" s="5"/>
      <c r="I80" s="5"/>
      <c r="J80" s="5"/>
    </row>
    <row r="81" spans="2:10" x14ac:dyDescent="0.3">
      <c r="B81" s="5"/>
      <c r="C81" s="5"/>
      <c r="D81" s="5"/>
      <c r="E81" s="5"/>
      <c r="F81" s="5"/>
      <c r="G81" s="5"/>
      <c r="H81" s="5"/>
      <c r="I81" s="5"/>
      <c r="J81" s="5"/>
    </row>
    <row r="82" spans="2:10" x14ac:dyDescent="0.3">
      <c r="B82" s="5"/>
      <c r="C82" s="5"/>
      <c r="D82" s="5"/>
      <c r="E82" s="5"/>
      <c r="F82" s="5"/>
      <c r="G82" s="5"/>
      <c r="H82" s="5"/>
      <c r="I82" s="5"/>
      <c r="J82" s="5"/>
    </row>
    <row r="83" spans="2:10" x14ac:dyDescent="0.3">
      <c r="B83" s="5"/>
      <c r="C83" s="5"/>
      <c r="D83" s="5"/>
      <c r="E83" s="5"/>
      <c r="F83" s="5"/>
      <c r="G83" s="5"/>
      <c r="H83" s="5"/>
      <c r="I83" s="5"/>
      <c r="J83" s="5"/>
    </row>
    <row r="84" spans="2:10" x14ac:dyDescent="0.3">
      <c r="B84" s="5"/>
      <c r="C84" s="5"/>
      <c r="D84" s="5"/>
      <c r="E84" s="5"/>
      <c r="F84" s="5"/>
      <c r="G84" s="5"/>
      <c r="H84" s="5"/>
      <c r="I84" s="5"/>
      <c r="J84" s="5"/>
    </row>
    <row r="85" spans="2:10" x14ac:dyDescent="0.3">
      <c r="B85" s="5"/>
      <c r="C85" s="5"/>
      <c r="D85" s="5"/>
      <c r="E85" s="5"/>
      <c r="F85" s="5"/>
      <c r="G85" s="5"/>
      <c r="H85" s="5"/>
      <c r="I85" s="5"/>
      <c r="J85" s="5"/>
    </row>
    <row r="86" spans="2:10" x14ac:dyDescent="0.3">
      <c r="B86" s="5"/>
      <c r="C86" s="5"/>
      <c r="D86" s="5"/>
      <c r="E86" s="5"/>
      <c r="F86" s="5"/>
      <c r="G86" s="5"/>
      <c r="H86" s="5"/>
      <c r="I86" s="5"/>
      <c r="J86" s="5"/>
    </row>
    <row r="87" spans="2:10" x14ac:dyDescent="0.3">
      <c r="B87" s="5"/>
      <c r="C87" s="5"/>
      <c r="D87" s="5"/>
      <c r="E87" s="5"/>
      <c r="F87" s="5"/>
      <c r="G87" s="5"/>
      <c r="H87" s="5"/>
      <c r="I87" s="5"/>
      <c r="J87" s="5"/>
    </row>
    <row r="88" spans="2:10" x14ac:dyDescent="0.3">
      <c r="B88" s="5"/>
      <c r="C88" s="5"/>
      <c r="D88" s="5"/>
      <c r="E88" s="5"/>
      <c r="F88" s="5"/>
      <c r="G88" s="5"/>
      <c r="H88" s="5"/>
      <c r="I88" s="5"/>
      <c r="J88" s="5"/>
    </row>
    <row r="89" spans="2:10" x14ac:dyDescent="0.3">
      <c r="B89" s="5"/>
      <c r="C89" s="5"/>
      <c r="D89" s="5"/>
      <c r="E89" s="5"/>
      <c r="F89" s="5"/>
      <c r="G89" s="5"/>
      <c r="H89" s="5"/>
      <c r="I89" s="5"/>
      <c r="J89" s="5"/>
    </row>
    <row r="90" spans="2:10" x14ac:dyDescent="0.3">
      <c r="B90" s="5"/>
      <c r="C90" s="5"/>
      <c r="D90" s="5"/>
      <c r="E90" s="5"/>
      <c r="F90" s="5"/>
      <c r="G90" s="5"/>
      <c r="H90" s="5"/>
      <c r="I90" s="5"/>
      <c r="J90" s="5"/>
    </row>
    <row r="91" spans="2:10" x14ac:dyDescent="0.3">
      <c r="B91" s="5"/>
      <c r="C91" s="5"/>
      <c r="D91" s="5"/>
      <c r="E91" s="5"/>
      <c r="F91" s="5"/>
      <c r="G91" s="5"/>
      <c r="H91" s="5"/>
      <c r="I91" s="5"/>
      <c r="J91" s="5"/>
    </row>
    <row r="92" spans="2:10" x14ac:dyDescent="0.3">
      <c r="B92" s="5"/>
      <c r="C92" s="5"/>
      <c r="D92" s="5"/>
      <c r="E92" s="5"/>
      <c r="F92" s="5"/>
      <c r="G92" s="5"/>
      <c r="H92" s="5"/>
      <c r="I92" s="5"/>
      <c r="J92" s="5"/>
    </row>
    <row r="93" spans="2:10" x14ac:dyDescent="0.3">
      <c r="B93" s="5"/>
      <c r="C93" s="5"/>
      <c r="D93" s="5"/>
      <c r="E93" s="5"/>
      <c r="F93" s="5"/>
      <c r="G93" s="5"/>
      <c r="H93" s="5"/>
      <c r="I93" s="5"/>
      <c r="J93" s="5"/>
    </row>
    <row r="94" spans="2:10" x14ac:dyDescent="0.3">
      <c r="B94" s="5"/>
      <c r="C94" s="5"/>
      <c r="D94" s="5"/>
      <c r="E94" s="5"/>
      <c r="F94" s="5"/>
      <c r="G94" s="5"/>
      <c r="H94" s="5"/>
      <c r="I94" s="5"/>
      <c r="J94" s="5"/>
    </row>
    <row r="95" spans="2:10" x14ac:dyDescent="0.3">
      <c r="B95" s="5"/>
      <c r="C95" s="5"/>
      <c r="D95" s="5"/>
      <c r="E95" s="5"/>
      <c r="F95" s="5"/>
      <c r="G95" s="5"/>
      <c r="H95" s="5"/>
      <c r="I95" s="5"/>
      <c r="J95" s="5"/>
    </row>
    <row r="96" spans="2:10" x14ac:dyDescent="0.3">
      <c r="B96" s="5"/>
      <c r="C96" s="5"/>
      <c r="D96" s="5"/>
      <c r="E96" s="5"/>
      <c r="F96" s="5"/>
      <c r="G96" s="5"/>
      <c r="H96" s="5"/>
      <c r="I96" s="5"/>
      <c r="J96" s="5"/>
    </row>
    <row r="97" spans="2:10" x14ac:dyDescent="0.3">
      <c r="B97" s="5"/>
      <c r="C97" s="5"/>
      <c r="D97" s="5"/>
      <c r="E97" s="5"/>
      <c r="F97" s="5"/>
      <c r="G97" s="5"/>
      <c r="H97" s="5"/>
      <c r="I97" s="5"/>
      <c r="J97" s="5"/>
    </row>
    <row r="98" spans="2:10" x14ac:dyDescent="0.3">
      <c r="B98" s="5"/>
      <c r="C98" s="5"/>
      <c r="D98" s="5"/>
      <c r="E98" s="5"/>
      <c r="F98" s="5"/>
      <c r="G98" s="5"/>
      <c r="H98" s="5"/>
      <c r="I98" s="5"/>
      <c r="J98" s="5"/>
    </row>
    <row r="99" spans="2:10" x14ac:dyDescent="0.3">
      <c r="B99" s="5"/>
      <c r="C99" s="5"/>
      <c r="D99" s="5"/>
      <c r="E99" s="5"/>
      <c r="F99" s="5"/>
      <c r="G99" s="5"/>
      <c r="H99" s="5"/>
      <c r="I99" s="5"/>
      <c r="J99" s="5"/>
    </row>
    <row r="100" spans="2:10" x14ac:dyDescent="0.3">
      <c r="B100" s="5"/>
      <c r="C100" s="5"/>
      <c r="D100" s="5"/>
      <c r="E100" s="5"/>
      <c r="F100" s="5"/>
      <c r="G100" s="5"/>
      <c r="H100" s="5"/>
      <c r="I100" s="5"/>
      <c r="J100" s="5"/>
    </row>
    <row r="101" spans="2:10" x14ac:dyDescent="0.3">
      <c r="B101" s="5"/>
      <c r="C101" s="5"/>
      <c r="D101" s="5"/>
      <c r="E101" s="5"/>
      <c r="F101" s="5"/>
      <c r="G101" s="5"/>
      <c r="H101" s="5"/>
      <c r="I101" s="5"/>
      <c r="J101" s="5"/>
    </row>
    <row r="102" spans="2:10" x14ac:dyDescent="0.3">
      <c r="B102" s="5"/>
      <c r="C102" s="5"/>
      <c r="D102" s="5"/>
      <c r="E102" s="5"/>
      <c r="F102" s="5"/>
      <c r="G102" s="5"/>
      <c r="H102" s="5"/>
      <c r="I102" s="5"/>
      <c r="J102" s="5"/>
    </row>
    <row r="103" spans="2:10" x14ac:dyDescent="0.3">
      <c r="B103" s="5"/>
      <c r="C103" s="5"/>
      <c r="D103" s="5"/>
      <c r="E103" s="5"/>
      <c r="F103" s="5"/>
      <c r="G103" s="5"/>
      <c r="H103" s="5"/>
      <c r="I103" s="5"/>
      <c r="J103" s="5"/>
    </row>
    <row r="104" spans="2:10" x14ac:dyDescent="0.3">
      <c r="B104" s="5"/>
      <c r="C104" s="5"/>
      <c r="D104" s="5"/>
      <c r="E104" s="5"/>
      <c r="F104" s="5"/>
      <c r="G104" s="5"/>
      <c r="H104" s="5"/>
      <c r="I104" s="5"/>
      <c r="J104" s="5"/>
    </row>
    <row r="105" spans="2:10" x14ac:dyDescent="0.3">
      <c r="B105" s="5"/>
      <c r="C105" s="5"/>
      <c r="D105" s="5"/>
      <c r="E105" s="5"/>
      <c r="F105" s="5"/>
      <c r="G105" s="5"/>
      <c r="H105" s="5"/>
      <c r="I105" s="5"/>
      <c r="J105" s="5"/>
    </row>
    <row r="106" spans="2:10" x14ac:dyDescent="0.3">
      <c r="B106" s="5"/>
      <c r="C106" s="5"/>
      <c r="D106" s="5"/>
      <c r="E106" s="5"/>
      <c r="F106" s="5"/>
      <c r="G106" s="5"/>
      <c r="H106" s="5"/>
      <c r="I106" s="5"/>
      <c r="J106" s="5"/>
    </row>
    <row r="107" spans="2:10" x14ac:dyDescent="0.3">
      <c r="B107" s="5"/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5"/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5"/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E110" s="5"/>
      <c r="F110" s="5"/>
      <c r="G110" s="5"/>
      <c r="H110" s="5"/>
      <c r="I110" s="5"/>
      <c r="J110" s="5"/>
    </row>
    <row r="111" spans="2:10" x14ac:dyDescent="0.3">
      <c r="E111" s="5"/>
      <c r="F111" s="5"/>
      <c r="G111" s="5"/>
      <c r="H111" s="5"/>
      <c r="I111" s="5"/>
      <c r="J111" s="5"/>
    </row>
    <row r="112" spans="2:10" x14ac:dyDescent="0.3">
      <c r="E112" s="5"/>
      <c r="F112" s="5"/>
      <c r="G112" s="5"/>
      <c r="H112" s="5"/>
      <c r="I112" s="5"/>
      <c r="J112" s="5"/>
    </row>
    <row r="113" spans="5:10" x14ac:dyDescent="0.3">
      <c r="E113" s="5"/>
      <c r="F113" s="5"/>
      <c r="G113" s="5"/>
      <c r="H113" s="5"/>
      <c r="I113" s="5"/>
      <c r="J113" s="5"/>
    </row>
    <row r="114" spans="5:10" x14ac:dyDescent="0.3">
      <c r="E114" s="5"/>
      <c r="F114" s="5"/>
      <c r="G114" s="5"/>
      <c r="H114" s="5"/>
      <c r="I114" s="5"/>
      <c r="J114" s="5"/>
    </row>
    <row r="115" spans="5:10" x14ac:dyDescent="0.3">
      <c r="E115" s="5"/>
      <c r="F115" s="5"/>
      <c r="G115" s="5"/>
      <c r="H115" s="5"/>
      <c r="I115" s="5"/>
      <c r="J115" s="5"/>
    </row>
    <row r="116" spans="5:10" x14ac:dyDescent="0.3">
      <c r="E116" s="5"/>
      <c r="F116" s="5"/>
      <c r="G116" s="5"/>
      <c r="H116" s="5"/>
      <c r="I116" s="5"/>
      <c r="J116" s="5"/>
    </row>
    <row r="117" spans="5:10" x14ac:dyDescent="0.3">
      <c r="E117" s="5"/>
      <c r="F117" s="5"/>
      <c r="G117" s="5"/>
      <c r="H117" s="5"/>
      <c r="I117" s="5"/>
      <c r="J117" s="5"/>
    </row>
    <row r="118" spans="5:10" x14ac:dyDescent="0.3">
      <c r="E118" s="5"/>
      <c r="F118" s="5"/>
      <c r="G118" s="5"/>
      <c r="H118" s="5"/>
      <c r="I118" s="5"/>
      <c r="J118" s="5"/>
    </row>
    <row r="119" spans="5:10" x14ac:dyDescent="0.3">
      <c r="E119" s="5"/>
      <c r="F119" s="5"/>
      <c r="G119" s="5"/>
      <c r="H119" s="5"/>
      <c r="I119" s="5"/>
      <c r="J119" s="5"/>
    </row>
    <row r="120" spans="5:10" x14ac:dyDescent="0.3">
      <c r="E120" s="5"/>
      <c r="F120" s="5"/>
      <c r="G120" s="5"/>
      <c r="H120" s="5"/>
      <c r="I120" s="5"/>
      <c r="J120" s="5"/>
    </row>
    <row r="121" spans="5:10" x14ac:dyDescent="0.3">
      <c r="E121" s="5"/>
      <c r="F121" s="5"/>
      <c r="G121" s="5"/>
      <c r="H121" s="5"/>
      <c r="I121" s="5"/>
      <c r="J121" s="5"/>
    </row>
    <row r="122" spans="5:10" x14ac:dyDescent="0.3">
      <c r="E122" s="5"/>
      <c r="F122" s="5"/>
      <c r="G122" s="5"/>
      <c r="H122" s="5"/>
      <c r="I122" s="5"/>
      <c r="J122" s="5"/>
    </row>
    <row r="123" spans="5:10" x14ac:dyDescent="0.3">
      <c r="E123" s="5"/>
      <c r="F123" s="5"/>
      <c r="G123" s="5"/>
      <c r="H123" s="5"/>
      <c r="I123" s="5"/>
      <c r="J123" s="5"/>
    </row>
    <row r="124" spans="5:10" x14ac:dyDescent="0.3">
      <c r="E124" s="5"/>
      <c r="F124" s="5"/>
      <c r="G124" s="5"/>
      <c r="H124" s="5"/>
      <c r="I124" s="5"/>
      <c r="J124" s="5"/>
    </row>
    <row r="125" spans="5:10" x14ac:dyDescent="0.3">
      <c r="E125" s="5"/>
      <c r="F125" s="5"/>
      <c r="G125" s="5"/>
      <c r="H125" s="5"/>
      <c r="I125" s="5"/>
      <c r="J125" s="5"/>
    </row>
    <row r="126" spans="5:10" x14ac:dyDescent="0.3">
      <c r="E126" s="5"/>
      <c r="F126" s="5"/>
      <c r="G126" s="5"/>
      <c r="H126" s="5"/>
      <c r="I126" s="5"/>
      <c r="J126" s="5"/>
    </row>
    <row r="127" spans="5:10" x14ac:dyDescent="0.3">
      <c r="E127" s="5"/>
      <c r="F127" s="5"/>
      <c r="G127" s="5"/>
      <c r="H127" s="5"/>
      <c r="I127" s="5"/>
      <c r="J127" s="5"/>
    </row>
    <row r="128" spans="5:10" x14ac:dyDescent="0.3">
      <c r="E128" s="5"/>
      <c r="F128" s="5"/>
      <c r="G128" s="5"/>
      <c r="H128" s="5"/>
      <c r="I128" s="5"/>
      <c r="J128" s="5"/>
    </row>
    <row r="129" spans="5:10" x14ac:dyDescent="0.3">
      <c r="E129" s="5"/>
      <c r="F129" s="5"/>
      <c r="G129" s="5"/>
      <c r="H129" s="5"/>
      <c r="I129" s="5"/>
      <c r="J129" s="5"/>
    </row>
    <row r="130" spans="5:10" x14ac:dyDescent="0.3">
      <c r="E130" s="5"/>
      <c r="F130" s="5"/>
      <c r="G130" s="5"/>
      <c r="H130" s="5"/>
      <c r="I130" s="5"/>
      <c r="J130" s="5"/>
    </row>
    <row r="131" spans="5:10" x14ac:dyDescent="0.3">
      <c r="E131" s="5"/>
      <c r="F131" s="5"/>
      <c r="G131" s="5"/>
      <c r="H131" s="5"/>
      <c r="I131" s="5"/>
      <c r="J131" s="5"/>
    </row>
    <row r="132" spans="5:10" x14ac:dyDescent="0.3">
      <c r="E132" s="5"/>
      <c r="F132" s="5"/>
      <c r="G132" s="5"/>
      <c r="H132" s="5"/>
      <c r="I132" s="5"/>
      <c r="J132" s="5"/>
    </row>
    <row r="133" spans="5:10" x14ac:dyDescent="0.3">
      <c r="E133" s="5"/>
      <c r="F133" s="5"/>
      <c r="G133" s="5"/>
      <c r="H133" s="5"/>
      <c r="I133" s="5"/>
      <c r="J133" s="5"/>
    </row>
    <row r="134" spans="5:10" x14ac:dyDescent="0.3">
      <c r="E134" s="5"/>
      <c r="F134" s="5"/>
      <c r="G134" s="5"/>
      <c r="H134" s="5"/>
      <c r="I134" s="5"/>
      <c r="J134" s="5"/>
    </row>
    <row r="135" spans="5:10" x14ac:dyDescent="0.3">
      <c r="E135" s="5"/>
      <c r="F135" s="5"/>
      <c r="G135" s="5"/>
      <c r="H135" s="5"/>
      <c r="I135" s="5"/>
      <c r="J135" s="5"/>
    </row>
    <row r="136" spans="5:10" x14ac:dyDescent="0.3">
      <c r="E136" s="5"/>
      <c r="F136" s="5"/>
      <c r="G136" s="5"/>
      <c r="H136" s="5"/>
      <c r="I136" s="5"/>
      <c r="J136" s="5"/>
    </row>
    <row r="137" spans="5:10" x14ac:dyDescent="0.3">
      <c r="E137" s="5"/>
      <c r="F137" s="5"/>
      <c r="G137" s="5"/>
      <c r="H137" s="5"/>
      <c r="I137" s="5"/>
      <c r="J137" s="5"/>
    </row>
    <row r="138" spans="5:10" x14ac:dyDescent="0.3">
      <c r="E138" s="5"/>
      <c r="F138" s="5"/>
      <c r="G138" s="5"/>
      <c r="H138" s="5"/>
      <c r="I138" s="5"/>
      <c r="J138" s="5"/>
    </row>
    <row r="139" spans="5:10" x14ac:dyDescent="0.3">
      <c r="E139" s="5"/>
      <c r="F139" s="5"/>
      <c r="G139" s="5"/>
      <c r="H139" s="5"/>
      <c r="I139" s="5"/>
      <c r="J139" s="5"/>
    </row>
    <row r="140" spans="5:10" x14ac:dyDescent="0.3">
      <c r="E140" s="5"/>
      <c r="F140" s="5"/>
      <c r="G140" s="5"/>
      <c r="H140" s="5"/>
      <c r="I140" s="5"/>
      <c r="J140" s="5"/>
    </row>
    <row r="141" spans="5:10" x14ac:dyDescent="0.3">
      <c r="E141" s="5"/>
      <c r="F141" s="5"/>
      <c r="G141" s="5"/>
      <c r="H141" s="5"/>
      <c r="I141" s="5"/>
      <c r="J141" s="5"/>
    </row>
    <row r="142" spans="5:10" x14ac:dyDescent="0.3">
      <c r="E142" s="5"/>
      <c r="F142" s="5"/>
      <c r="G142" s="5"/>
      <c r="H142" s="5"/>
      <c r="I142" s="5"/>
      <c r="J142" s="5"/>
    </row>
    <row r="143" spans="5:10" x14ac:dyDescent="0.3">
      <c r="E143" s="5"/>
      <c r="F143" s="5"/>
      <c r="G143" s="5"/>
      <c r="H143" s="5"/>
      <c r="I143" s="5"/>
      <c r="J143" s="5"/>
    </row>
    <row r="144" spans="5:10" x14ac:dyDescent="0.3">
      <c r="E144" s="5"/>
      <c r="F144" s="5"/>
      <c r="G144" s="5"/>
      <c r="H144" s="5"/>
      <c r="I144" s="5"/>
      <c r="J144" s="5"/>
    </row>
    <row r="145" spans="5:10" x14ac:dyDescent="0.3">
      <c r="E145" s="5"/>
      <c r="F145" s="5"/>
      <c r="G145" s="5"/>
      <c r="H145" s="5"/>
      <c r="I145" s="5"/>
      <c r="J145" s="5"/>
    </row>
    <row r="146" spans="5:10" x14ac:dyDescent="0.3">
      <c r="E146" s="5"/>
      <c r="F146" s="5"/>
      <c r="G146" s="5"/>
      <c r="H146" s="5"/>
      <c r="I146" s="5"/>
      <c r="J146" s="5"/>
    </row>
    <row r="147" spans="5:10" x14ac:dyDescent="0.3">
      <c r="E147" s="5"/>
      <c r="F147" s="5"/>
      <c r="G147" s="5"/>
      <c r="H147" s="5"/>
      <c r="I147" s="5"/>
      <c r="J147" s="5"/>
    </row>
    <row r="148" spans="5:10" x14ac:dyDescent="0.3">
      <c r="E148" s="5"/>
      <c r="F148" s="5"/>
      <c r="G148" s="5"/>
      <c r="H148" s="5"/>
      <c r="I148" s="5"/>
      <c r="J148" s="5"/>
    </row>
    <row r="149" spans="5:10" x14ac:dyDescent="0.3">
      <c r="E149" s="5"/>
      <c r="F149" s="5"/>
      <c r="G149" s="5"/>
      <c r="H149" s="5"/>
      <c r="I149" s="5"/>
      <c r="J149" s="5"/>
    </row>
    <row r="150" spans="5:10" x14ac:dyDescent="0.3">
      <c r="E150" s="5"/>
      <c r="F150" s="5"/>
      <c r="G150" s="5"/>
      <c r="H150" s="5"/>
      <c r="I150" s="5"/>
      <c r="J150" s="5"/>
    </row>
    <row r="151" spans="5:10" x14ac:dyDescent="0.3">
      <c r="E151" s="5"/>
      <c r="F151" s="5"/>
      <c r="G151" s="5"/>
      <c r="H151" s="5"/>
      <c r="I151" s="5"/>
      <c r="J151" s="5"/>
    </row>
    <row r="152" spans="5:10" x14ac:dyDescent="0.3">
      <c r="E152" s="5"/>
      <c r="F152" s="5"/>
      <c r="G152" s="5"/>
      <c r="H152" s="5"/>
      <c r="I152" s="5"/>
      <c r="J152" s="5"/>
    </row>
    <row r="153" spans="5:10" x14ac:dyDescent="0.3">
      <c r="E153" s="5"/>
      <c r="F153" s="5"/>
      <c r="G153" s="5"/>
      <c r="H153" s="5"/>
      <c r="I153" s="5"/>
      <c r="J153" s="5"/>
    </row>
    <row r="154" spans="5:10" x14ac:dyDescent="0.3">
      <c r="E154" s="5"/>
      <c r="F154" s="5"/>
      <c r="G154" s="5"/>
      <c r="H154" s="5"/>
      <c r="I154" s="5"/>
      <c r="J154" s="5"/>
    </row>
    <row r="155" spans="5:10" x14ac:dyDescent="0.3">
      <c r="E155" s="5"/>
      <c r="F155" s="5"/>
      <c r="G155" s="5"/>
      <c r="H155" s="5"/>
      <c r="I155" s="5"/>
      <c r="J155" s="5"/>
    </row>
    <row r="156" spans="5:10" x14ac:dyDescent="0.3">
      <c r="E156" s="5"/>
      <c r="F156" s="5"/>
      <c r="G156" s="5"/>
      <c r="H156" s="5"/>
      <c r="I156" s="5"/>
      <c r="J156" s="5"/>
    </row>
    <row r="157" spans="5:10" x14ac:dyDescent="0.3">
      <c r="E157" s="5"/>
      <c r="F157" s="5"/>
      <c r="G157" s="5"/>
      <c r="H157" s="5"/>
      <c r="I157" s="5"/>
      <c r="J157" s="5"/>
    </row>
    <row r="158" spans="5:10" x14ac:dyDescent="0.3">
      <c r="E158" s="5"/>
      <c r="F158" s="5"/>
      <c r="G158" s="5"/>
      <c r="H158" s="5"/>
      <c r="I158" s="5"/>
      <c r="J158" s="5"/>
    </row>
    <row r="159" spans="5:10" x14ac:dyDescent="0.3">
      <c r="E159" s="5"/>
      <c r="F159" s="5"/>
      <c r="G159" s="5"/>
      <c r="H159" s="5"/>
      <c r="I159" s="5"/>
      <c r="J159" s="5"/>
    </row>
    <row r="160" spans="5:10" x14ac:dyDescent="0.3">
      <c r="E160" s="5"/>
      <c r="F160" s="5"/>
      <c r="G160" s="5"/>
      <c r="H160" s="5"/>
      <c r="I160" s="5"/>
      <c r="J160" s="5"/>
    </row>
    <row r="161" spans="5:10" x14ac:dyDescent="0.3">
      <c r="E161" s="5"/>
      <c r="F161" s="5"/>
      <c r="G161" s="5"/>
      <c r="H161" s="5"/>
      <c r="I161" s="5"/>
      <c r="J161" s="5"/>
    </row>
    <row r="162" spans="5:10" x14ac:dyDescent="0.3">
      <c r="E162" s="5"/>
      <c r="F162" s="5"/>
      <c r="G162" s="5"/>
      <c r="H162" s="5"/>
      <c r="I162" s="5"/>
      <c r="J162" s="5"/>
    </row>
    <row r="163" spans="5:10" x14ac:dyDescent="0.3">
      <c r="E163" s="5"/>
      <c r="F163" s="5"/>
      <c r="G163" s="5"/>
      <c r="H163" s="5"/>
      <c r="I163" s="5"/>
      <c r="J163" s="5"/>
    </row>
    <row r="164" spans="5:10" x14ac:dyDescent="0.3">
      <c r="E164" s="5"/>
      <c r="F164" s="5"/>
      <c r="G164" s="5"/>
      <c r="H164" s="5"/>
      <c r="I164" s="5"/>
      <c r="J164" s="5"/>
    </row>
    <row r="165" spans="5:10" x14ac:dyDescent="0.3">
      <c r="E165" s="5"/>
      <c r="F165" s="5"/>
      <c r="G165" s="5"/>
      <c r="H165" s="5"/>
      <c r="I165" s="5"/>
      <c r="J165" s="5"/>
    </row>
    <row r="166" spans="5:10" x14ac:dyDescent="0.3">
      <c r="E166" s="5"/>
      <c r="F166" s="5"/>
      <c r="G166" s="5"/>
      <c r="H166" s="5"/>
      <c r="I166" s="5"/>
      <c r="J166" s="5"/>
    </row>
    <row r="167" spans="5:10" x14ac:dyDescent="0.3">
      <c r="E167" s="5"/>
      <c r="F167" s="5"/>
      <c r="G167" s="5"/>
      <c r="H167" s="5"/>
      <c r="I167" s="5"/>
      <c r="J167" s="5"/>
    </row>
    <row r="168" spans="5:10" x14ac:dyDescent="0.3">
      <c r="E168" s="5"/>
      <c r="F168" s="5"/>
      <c r="G168" s="5"/>
      <c r="H168" s="5"/>
      <c r="I168" s="5"/>
      <c r="J168" s="5"/>
    </row>
    <row r="169" spans="5:10" x14ac:dyDescent="0.3">
      <c r="E169" s="5"/>
      <c r="F169" s="5"/>
      <c r="G169" s="5"/>
      <c r="H169" s="5"/>
      <c r="I169" s="5"/>
      <c r="J169" s="5"/>
    </row>
    <row r="170" spans="5:10" x14ac:dyDescent="0.3">
      <c r="E170" s="5"/>
      <c r="F170" s="5"/>
      <c r="G170" s="5"/>
      <c r="H170" s="5"/>
      <c r="I170" s="5"/>
      <c r="J170" s="5"/>
    </row>
    <row r="171" spans="5:10" x14ac:dyDescent="0.3">
      <c r="E171" s="5"/>
      <c r="F171" s="5"/>
      <c r="G171" s="5"/>
      <c r="H171" s="5"/>
      <c r="I171" s="5"/>
      <c r="J171" s="5"/>
    </row>
    <row r="172" spans="5:10" x14ac:dyDescent="0.3">
      <c r="E172" s="5"/>
      <c r="F172" s="5"/>
      <c r="G172" s="5"/>
      <c r="H172" s="5"/>
      <c r="I172" s="5"/>
      <c r="J172" s="5"/>
    </row>
    <row r="173" spans="5:10" x14ac:dyDescent="0.3">
      <c r="E173" s="5"/>
      <c r="F173" s="5"/>
      <c r="G173" s="5"/>
      <c r="H173" s="5"/>
      <c r="I173" s="5"/>
      <c r="J173" s="5"/>
    </row>
    <row r="174" spans="5:10" x14ac:dyDescent="0.3">
      <c r="E174" s="5"/>
      <c r="F174" s="5"/>
      <c r="G174" s="5"/>
      <c r="H174" s="5"/>
      <c r="I174" s="5"/>
      <c r="J174" s="5"/>
    </row>
    <row r="175" spans="5:10" x14ac:dyDescent="0.3">
      <c r="E175" s="5"/>
      <c r="F175" s="5"/>
      <c r="G175" s="5"/>
      <c r="H175" s="5"/>
      <c r="I175" s="5"/>
      <c r="J175" s="5"/>
    </row>
    <row r="176" spans="5:10" x14ac:dyDescent="0.3">
      <c r="E176" s="5"/>
      <c r="F176" s="5"/>
      <c r="G176" s="5"/>
      <c r="H176" s="5"/>
      <c r="I176" s="5"/>
      <c r="J176" s="5"/>
    </row>
    <row r="177" spans="5:10" x14ac:dyDescent="0.3">
      <c r="E177" s="5"/>
      <c r="F177" s="5"/>
      <c r="G177" s="5"/>
      <c r="H177" s="5"/>
      <c r="I177" s="5"/>
      <c r="J177" s="5"/>
    </row>
    <row r="178" spans="5:10" x14ac:dyDescent="0.3">
      <c r="E178" s="5"/>
      <c r="F178" s="5"/>
      <c r="G178" s="5"/>
      <c r="H178" s="5"/>
      <c r="I178" s="5"/>
      <c r="J178" s="5"/>
    </row>
    <row r="179" spans="5:10" x14ac:dyDescent="0.3">
      <c r="E179" s="5"/>
      <c r="F179" s="5"/>
      <c r="G179" s="5"/>
      <c r="H179" s="5"/>
      <c r="I179" s="5"/>
      <c r="J179" s="5"/>
    </row>
    <row r="180" spans="5:10" x14ac:dyDescent="0.3">
      <c r="E180" s="5"/>
      <c r="F180" s="5"/>
      <c r="G180" s="5"/>
      <c r="H180" s="5"/>
      <c r="I180" s="5"/>
      <c r="J180" s="5"/>
    </row>
    <row r="181" spans="5:10" x14ac:dyDescent="0.3">
      <c r="E181" s="5"/>
      <c r="F181" s="5"/>
      <c r="G181" s="5"/>
      <c r="H181" s="5"/>
      <c r="I181" s="5"/>
      <c r="J181" s="5"/>
    </row>
    <row r="182" spans="5:10" x14ac:dyDescent="0.3">
      <c r="E182" s="5"/>
      <c r="F182" s="5"/>
      <c r="G182" s="5"/>
      <c r="H182" s="5"/>
      <c r="I182" s="5"/>
      <c r="J182" s="5"/>
    </row>
    <row r="183" spans="5:10" x14ac:dyDescent="0.3">
      <c r="E183" s="5"/>
      <c r="F183" s="5"/>
      <c r="G183" s="5"/>
      <c r="H183" s="5"/>
      <c r="I183" s="5"/>
      <c r="J183" s="5"/>
    </row>
    <row r="184" spans="5:10" x14ac:dyDescent="0.3">
      <c r="E184" s="5"/>
      <c r="F184" s="5"/>
      <c r="G184" s="5"/>
      <c r="H184" s="5"/>
      <c r="I184" s="5"/>
      <c r="J184" s="5"/>
    </row>
    <row r="185" spans="5:10" x14ac:dyDescent="0.3">
      <c r="E185" s="5"/>
      <c r="F185" s="5"/>
      <c r="G185" s="5"/>
      <c r="H185" s="5"/>
      <c r="I185" s="5"/>
      <c r="J185" s="5"/>
    </row>
    <row r="186" spans="5:10" x14ac:dyDescent="0.3">
      <c r="E186" s="5"/>
      <c r="F186" s="5"/>
      <c r="G186" s="5"/>
      <c r="H186" s="5"/>
      <c r="I186" s="5"/>
      <c r="J186" s="5"/>
    </row>
    <row r="187" spans="5:10" x14ac:dyDescent="0.3">
      <c r="E187" s="5"/>
      <c r="F187" s="5"/>
      <c r="G187" s="5"/>
      <c r="H187" s="5"/>
      <c r="I187" s="5"/>
      <c r="J187" s="5"/>
    </row>
    <row r="188" spans="5:10" x14ac:dyDescent="0.3">
      <c r="E188" s="5"/>
      <c r="F188" s="5"/>
      <c r="G188" s="5"/>
      <c r="H188" s="5"/>
      <c r="I188" s="5"/>
      <c r="J188" s="5"/>
    </row>
    <row r="189" spans="5:10" x14ac:dyDescent="0.3">
      <c r="E189" s="5"/>
      <c r="F189" s="5"/>
      <c r="G189" s="5"/>
      <c r="H189" s="5"/>
      <c r="I189" s="5"/>
      <c r="J189" s="5"/>
    </row>
    <row r="190" spans="5:10" x14ac:dyDescent="0.3">
      <c r="E190" s="5"/>
      <c r="F190" s="5"/>
      <c r="G190" s="5"/>
      <c r="H190" s="5"/>
      <c r="I190" s="5"/>
      <c r="J190" s="5"/>
    </row>
    <row r="191" spans="5:10" x14ac:dyDescent="0.3">
      <c r="E191" s="5"/>
      <c r="F191" s="5"/>
      <c r="G191" s="5"/>
      <c r="H191" s="5"/>
      <c r="I191" s="5"/>
      <c r="J191" s="5"/>
    </row>
    <row r="192" spans="5:10" x14ac:dyDescent="0.3">
      <c r="E192" s="5"/>
      <c r="F192" s="5"/>
      <c r="G192" s="5"/>
      <c r="H192" s="5"/>
      <c r="I192" s="5"/>
      <c r="J192" s="5"/>
    </row>
    <row r="193" spans="5:10" x14ac:dyDescent="0.3">
      <c r="E193" s="5"/>
      <c r="F193" s="5"/>
      <c r="G193" s="5"/>
      <c r="H193" s="5"/>
      <c r="I193" s="5"/>
      <c r="J193" s="5"/>
    </row>
    <row r="194" spans="5:10" x14ac:dyDescent="0.3">
      <c r="E194" s="5"/>
      <c r="F194" s="5"/>
      <c r="G194" s="5"/>
      <c r="H194" s="5"/>
      <c r="I194" s="5"/>
      <c r="J194" s="5"/>
    </row>
    <row r="195" spans="5:10" x14ac:dyDescent="0.3">
      <c r="E195" s="5"/>
      <c r="F195" s="5"/>
      <c r="G195" s="5"/>
      <c r="H195" s="5"/>
      <c r="I195" s="5"/>
      <c r="J195" s="5"/>
    </row>
    <row r="196" spans="5:10" x14ac:dyDescent="0.3">
      <c r="E196" s="5"/>
      <c r="F196" s="5"/>
      <c r="G196" s="5"/>
      <c r="H196" s="5"/>
      <c r="I196" s="5"/>
      <c r="J196" s="5"/>
    </row>
    <row r="197" spans="5:10" x14ac:dyDescent="0.3">
      <c r="E197" s="5"/>
      <c r="F197" s="5"/>
      <c r="G197" s="5"/>
      <c r="H197" s="5"/>
      <c r="I197" s="5"/>
      <c r="J197" s="5"/>
    </row>
    <row r="198" spans="5:10" x14ac:dyDescent="0.3">
      <c r="E198" s="5"/>
      <c r="F198" s="5"/>
      <c r="G198" s="5"/>
      <c r="H198" s="5"/>
      <c r="I198" s="5"/>
      <c r="J198" s="5"/>
    </row>
    <row r="199" spans="5:10" x14ac:dyDescent="0.3">
      <c r="E199" s="5"/>
      <c r="F199" s="5"/>
      <c r="G199" s="5"/>
      <c r="H199" s="5"/>
      <c r="I199" s="5"/>
      <c r="J199" s="5"/>
    </row>
    <row r="200" spans="5:10" x14ac:dyDescent="0.3">
      <c r="E200" s="5"/>
      <c r="F200" s="5"/>
      <c r="G200" s="5"/>
      <c r="H200" s="5"/>
      <c r="I200" s="5"/>
      <c r="J200" s="5"/>
    </row>
    <row r="201" spans="5:10" x14ac:dyDescent="0.3">
      <c r="E201" s="5"/>
      <c r="F201" s="5"/>
      <c r="G201" s="5"/>
      <c r="H201" s="5"/>
      <c r="I201" s="5"/>
      <c r="J201" s="5"/>
    </row>
    <row r="202" spans="5:10" x14ac:dyDescent="0.3">
      <c r="E202" s="5"/>
      <c r="F202" s="5"/>
      <c r="G202" s="5"/>
      <c r="H202" s="5"/>
      <c r="I202" s="5"/>
      <c r="J202" s="5"/>
    </row>
    <row r="203" spans="5:10" x14ac:dyDescent="0.3">
      <c r="E203" s="5"/>
      <c r="F203" s="5"/>
      <c r="G203" s="5"/>
      <c r="H203" s="5"/>
      <c r="I203" s="5"/>
      <c r="J203" s="5"/>
    </row>
    <row r="204" spans="5:10" x14ac:dyDescent="0.3">
      <c r="E204" s="5"/>
      <c r="F204" s="5"/>
      <c r="G204" s="5"/>
      <c r="H204" s="5"/>
      <c r="I204" s="5"/>
      <c r="J204" s="5"/>
    </row>
    <row r="205" spans="5:10" x14ac:dyDescent="0.3">
      <c r="E205" s="5"/>
      <c r="F205" s="5"/>
      <c r="G205" s="5"/>
      <c r="H205" s="5"/>
      <c r="I205" s="5"/>
      <c r="J205" s="5"/>
    </row>
    <row r="206" spans="5:10" x14ac:dyDescent="0.3">
      <c r="E206" s="5"/>
      <c r="F206" s="5"/>
      <c r="G206" s="5"/>
      <c r="H206" s="5"/>
      <c r="I206" s="5"/>
      <c r="J206" s="5"/>
    </row>
    <row r="207" spans="5:10" x14ac:dyDescent="0.3">
      <c r="E207" s="5"/>
      <c r="F207" s="5"/>
      <c r="G207" s="5"/>
      <c r="H207" s="5"/>
      <c r="I207" s="5"/>
      <c r="J207" s="5"/>
    </row>
    <row r="208" spans="5:10" x14ac:dyDescent="0.3">
      <c r="E208" s="5"/>
      <c r="F208" s="5"/>
      <c r="G208" s="5"/>
      <c r="H208" s="5"/>
      <c r="I208" s="5"/>
      <c r="J208" s="5"/>
    </row>
    <row r="209" spans="5:10" x14ac:dyDescent="0.3">
      <c r="E209" s="5"/>
      <c r="F209" s="5"/>
      <c r="G209" s="5"/>
      <c r="H209" s="5"/>
      <c r="I209" s="5"/>
      <c r="J209" s="5"/>
    </row>
    <row r="210" spans="5:10" x14ac:dyDescent="0.3">
      <c r="E210" s="5"/>
      <c r="F210" s="5"/>
      <c r="G210" s="5"/>
      <c r="H210" s="5"/>
      <c r="I210" s="5"/>
      <c r="J210" s="5"/>
    </row>
    <row r="211" spans="5:10" x14ac:dyDescent="0.3">
      <c r="E211" s="5"/>
      <c r="F211" s="5"/>
      <c r="G211" s="5"/>
      <c r="H211" s="5"/>
      <c r="I211" s="5"/>
      <c r="J211" s="5"/>
    </row>
    <row r="212" spans="5:10" x14ac:dyDescent="0.3">
      <c r="E212" s="5"/>
      <c r="F212" s="5"/>
      <c r="G212" s="5"/>
      <c r="H212" s="5"/>
      <c r="I212" s="5"/>
      <c r="J212" s="5"/>
    </row>
    <row r="213" spans="5:10" x14ac:dyDescent="0.3">
      <c r="E213" s="5"/>
      <c r="F213" s="5"/>
      <c r="G213" s="5"/>
      <c r="H213" s="5"/>
      <c r="I213" s="5"/>
      <c r="J213" s="5"/>
    </row>
    <row r="214" spans="5:10" x14ac:dyDescent="0.3">
      <c r="E214" s="5"/>
      <c r="F214" s="5"/>
      <c r="G214" s="5"/>
      <c r="H214" s="5"/>
      <c r="I214" s="5"/>
      <c r="J214" s="5"/>
    </row>
    <row r="215" spans="5:10" x14ac:dyDescent="0.3">
      <c r="E215" s="5"/>
      <c r="F215" s="5"/>
      <c r="G215" s="5"/>
      <c r="H215" s="5"/>
      <c r="I215" s="5"/>
      <c r="J215" s="5"/>
    </row>
    <row r="216" spans="5:10" x14ac:dyDescent="0.3">
      <c r="E216" s="5"/>
      <c r="F216" s="5"/>
      <c r="G216" s="5"/>
      <c r="H216" s="5"/>
      <c r="I216" s="5"/>
      <c r="J216" s="5"/>
    </row>
    <row r="217" spans="5:10" x14ac:dyDescent="0.3">
      <c r="E217" s="5"/>
      <c r="F217" s="5"/>
      <c r="G217" s="5"/>
      <c r="H217" s="5"/>
      <c r="I217" s="5"/>
      <c r="J217" s="5"/>
    </row>
    <row r="218" spans="5:10" x14ac:dyDescent="0.3">
      <c r="E218" s="5"/>
      <c r="F218" s="5"/>
      <c r="G218" s="5"/>
      <c r="H218" s="5"/>
      <c r="I218" s="5"/>
      <c r="J218" s="5"/>
    </row>
    <row r="219" spans="5:10" x14ac:dyDescent="0.3">
      <c r="E219" s="5"/>
      <c r="F219" s="5"/>
      <c r="G219" s="5"/>
      <c r="H219" s="5"/>
      <c r="I219" s="5"/>
      <c r="J219" s="5"/>
    </row>
    <row r="220" spans="5:10" x14ac:dyDescent="0.3">
      <c r="E220" s="5"/>
      <c r="F220" s="5"/>
      <c r="G220" s="5"/>
      <c r="H220" s="5"/>
      <c r="I220" s="5"/>
      <c r="J220" s="5"/>
    </row>
    <row r="221" spans="5:10" x14ac:dyDescent="0.3">
      <c r="E221" s="5"/>
      <c r="F221" s="5"/>
      <c r="G221" s="5"/>
      <c r="H221" s="5"/>
      <c r="I221" s="5"/>
      <c r="J221" s="5"/>
    </row>
    <row r="222" spans="5:10" x14ac:dyDescent="0.3">
      <c r="E222" s="5"/>
      <c r="F222" s="5"/>
      <c r="G222" s="5"/>
      <c r="H222" s="5"/>
      <c r="I222" s="5"/>
      <c r="J222" s="5"/>
    </row>
    <row r="223" spans="5:10" x14ac:dyDescent="0.3">
      <c r="E223" s="5"/>
      <c r="F223" s="5"/>
      <c r="G223" s="5"/>
      <c r="H223" s="5"/>
      <c r="I223" s="5"/>
      <c r="J223" s="5"/>
    </row>
    <row r="224" spans="5:10" x14ac:dyDescent="0.3">
      <c r="E224" s="5"/>
      <c r="F224" s="5"/>
      <c r="G224" s="5"/>
      <c r="H224" s="5"/>
      <c r="I224" s="5"/>
      <c r="J224" s="5"/>
    </row>
    <row r="225" spans="5:10" x14ac:dyDescent="0.3">
      <c r="E225" s="5"/>
      <c r="F225" s="5"/>
      <c r="G225" s="5"/>
      <c r="H225" s="5"/>
      <c r="I225" s="5"/>
      <c r="J225" s="5"/>
    </row>
    <row r="226" spans="5:10" x14ac:dyDescent="0.3">
      <c r="E226" s="5"/>
      <c r="F226" s="5"/>
      <c r="G226" s="5"/>
      <c r="H226" s="5"/>
      <c r="I226" s="5"/>
      <c r="J226" s="5"/>
    </row>
    <row r="227" spans="5:10" x14ac:dyDescent="0.3">
      <c r="E227" s="5"/>
      <c r="F227" s="5"/>
      <c r="G227" s="5"/>
      <c r="H227" s="5"/>
      <c r="I227" s="5"/>
      <c r="J227" s="5"/>
    </row>
    <row r="228" spans="5:10" x14ac:dyDescent="0.3">
      <c r="E228" s="5"/>
      <c r="F228" s="5"/>
      <c r="G228" s="5"/>
      <c r="H228" s="5"/>
      <c r="I228" s="5"/>
      <c r="J228" s="5"/>
    </row>
    <row r="229" spans="5:10" x14ac:dyDescent="0.3">
      <c r="E229" s="5"/>
      <c r="F229" s="5"/>
      <c r="G229" s="5"/>
      <c r="H229" s="5"/>
      <c r="I229" s="5"/>
      <c r="J229" s="5"/>
    </row>
    <row r="230" spans="5:10" x14ac:dyDescent="0.3">
      <c r="E230" s="5"/>
      <c r="F230" s="5"/>
      <c r="G230" s="5"/>
      <c r="H230" s="5"/>
      <c r="I230" s="5"/>
      <c r="J230" s="5"/>
    </row>
    <row r="231" spans="5:10" x14ac:dyDescent="0.3">
      <c r="E231" s="5"/>
      <c r="F231" s="5"/>
      <c r="G231" s="5"/>
      <c r="H231" s="5"/>
      <c r="I231" s="5"/>
      <c r="J231" s="5"/>
    </row>
    <row r="232" spans="5:10" x14ac:dyDescent="0.3">
      <c r="E232" s="5"/>
      <c r="F232" s="5"/>
      <c r="G232" s="5"/>
      <c r="H232" s="5"/>
      <c r="I232" s="5"/>
      <c r="J232" s="5"/>
    </row>
    <row r="233" spans="5:10" x14ac:dyDescent="0.3">
      <c r="E233" s="5"/>
      <c r="F233" s="5"/>
      <c r="G233" s="5"/>
      <c r="H233" s="5"/>
      <c r="I233" s="5"/>
      <c r="J233" s="5"/>
    </row>
    <row r="234" spans="5:10" x14ac:dyDescent="0.3">
      <c r="E234" s="5"/>
      <c r="F234" s="5"/>
      <c r="G234" s="5"/>
      <c r="H234" s="5"/>
      <c r="I234" s="5"/>
      <c r="J234" s="5"/>
    </row>
    <row r="235" spans="5:10" x14ac:dyDescent="0.3">
      <c r="E235" s="5"/>
      <c r="F235" s="5"/>
      <c r="G235" s="5"/>
      <c r="H235" s="5"/>
      <c r="I235" s="5"/>
      <c r="J235" s="5"/>
    </row>
    <row r="236" spans="5:10" x14ac:dyDescent="0.3">
      <c r="E236" s="5"/>
      <c r="F236" s="5"/>
      <c r="G236" s="5"/>
      <c r="H236" s="5"/>
      <c r="I236" s="5"/>
      <c r="J236" s="5"/>
    </row>
    <row r="237" spans="5:10" x14ac:dyDescent="0.3">
      <c r="E237" s="5"/>
      <c r="F237" s="5"/>
      <c r="G237" s="5"/>
      <c r="H237" s="5"/>
      <c r="I237" s="5"/>
      <c r="J237" s="5"/>
    </row>
    <row r="238" spans="5:10" x14ac:dyDescent="0.3">
      <c r="E238" s="5"/>
      <c r="F238" s="5"/>
      <c r="G238" s="5"/>
      <c r="H238" s="5"/>
      <c r="I238" s="5"/>
      <c r="J238" s="5"/>
    </row>
    <row r="239" spans="5:10" x14ac:dyDescent="0.3">
      <c r="E239" s="5"/>
      <c r="F239" s="5"/>
      <c r="G239" s="5"/>
      <c r="H239" s="5"/>
      <c r="I239" s="5"/>
      <c r="J239" s="5"/>
    </row>
    <row r="240" spans="5:10" x14ac:dyDescent="0.3">
      <c r="E240" s="5"/>
      <c r="F240" s="5"/>
      <c r="G240" s="5"/>
      <c r="H240" s="5"/>
      <c r="I240" s="5"/>
      <c r="J240" s="5"/>
    </row>
    <row r="241" spans="5:10" x14ac:dyDescent="0.3">
      <c r="E241" s="5"/>
      <c r="F241" s="5"/>
      <c r="G241" s="5"/>
      <c r="H241" s="5"/>
      <c r="I241" s="5"/>
      <c r="J241" s="5"/>
    </row>
    <row r="242" spans="5:10" x14ac:dyDescent="0.3">
      <c r="E242" s="5"/>
      <c r="F242" s="5"/>
      <c r="G242" s="5"/>
      <c r="H242" s="5"/>
      <c r="I242" s="5"/>
      <c r="J242" s="5"/>
    </row>
    <row r="243" spans="5:10" x14ac:dyDescent="0.3">
      <c r="E243" s="5"/>
      <c r="F243" s="5"/>
      <c r="G243" s="5"/>
      <c r="H243" s="5"/>
      <c r="I243" s="5"/>
      <c r="J243" s="5"/>
    </row>
  </sheetData>
  <pageMargins left="0.25" right="0" top="0.5" bottom="0.5" header="0.05" footer="0.05"/>
  <pageSetup scale="61" fitToWidth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85F7B-E7CC-4815-B065-22983DB412C3}">
  <dimension ref="A1:M156"/>
  <sheetViews>
    <sheetView zoomScaleNormal="100" workbookViewId="0">
      <pane ySplit="12" topLeftCell="A142" activePane="bottomLeft" state="frozen"/>
      <selection pane="bottomLeft" activeCell="I156" sqref="I156"/>
    </sheetView>
  </sheetViews>
  <sheetFormatPr defaultRowHeight="14.4" x14ac:dyDescent="0.3"/>
  <cols>
    <col min="1" max="1" width="13.44140625" style="65" customWidth="1"/>
    <col min="2" max="2" width="26.109375" customWidth="1"/>
    <col min="3" max="3" width="30.88671875" customWidth="1"/>
    <col min="4" max="4" width="17" customWidth="1"/>
    <col min="5" max="5" width="14.21875" customWidth="1"/>
    <col min="6" max="6" width="9.5546875" style="66" customWidth="1"/>
    <col min="7" max="8" width="11.6640625" style="67" customWidth="1"/>
    <col min="9" max="9" width="11.6640625" style="5" customWidth="1"/>
    <col min="11" max="11" width="9.5546875" bestFit="1" customWidth="1"/>
    <col min="12" max="12" width="27.6640625" customWidth="1"/>
    <col min="13" max="13" width="12.33203125" style="5" customWidth="1"/>
  </cols>
  <sheetData>
    <row r="1" spans="1:13" s="60" customFormat="1" ht="15.6" x14ac:dyDescent="0.3">
      <c r="A1" s="128" t="s">
        <v>47</v>
      </c>
      <c r="B1" s="128"/>
      <c r="C1" s="128"/>
      <c r="D1" s="128"/>
      <c r="E1" s="128"/>
      <c r="F1" s="128"/>
      <c r="G1" s="128"/>
      <c r="H1" s="128"/>
      <c r="I1" s="128"/>
      <c r="M1" s="61"/>
    </row>
    <row r="2" spans="1:13" x14ac:dyDescent="0.3">
      <c r="A2" s="62"/>
      <c r="B2" s="63" t="s">
        <v>48</v>
      </c>
      <c r="C2" s="64"/>
      <c r="D2" s="5">
        <v>10135.120000000001</v>
      </c>
      <c r="E2" s="62">
        <v>46022</v>
      </c>
      <c r="F2" s="64"/>
      <c r="G2" s="64"/>
      <c r="H2" s="64"/>
      <c r="I2" s="64"/>
    </row>
    <row r="3" spans="1:13" x14ac:dyDescent="0.3">
      <c r="A3" s="64"/>
      <c r="B3" s="63" t="s">
        <v>49</v>
      </c>
      <c r="C3" s="64"/>
      <c r="D3" s="5">
        <f>-293.98-10.06-8.67-8.71-9.08-7.22-6.61-15.08-6.17-3.02-3.02-2.93-3.74-3.39-3.44</f>
        <v>-385.12</v>
      </c>
      <c r="E3" s="64"/>
      <c r="F3" s="64"/>
      <c r="G3" s="64"/>
      <c r="H3" s="64"/>
      <c r="I3" s="64"/>
    </row>
    <row r="4" spans="1:13" x14ac:dyDescent="0.3">
      <c r="A4" s="64"/>
      <c r="B4" s="63" t="s">
        <v>205</v>
      </c>
      <c r="C4" s="64"/>
      <c r="D4" s="5">
        <v>-750</v>
      </c>
      <c r="E4" s="64"/>
      <c r="F4" s="64"/>
      <c r="G4" s="64"/>
      <c r="H4" s="64"/>
      <c r="I4" s="64"/>
    </row>
    <row r="5" spans="1:13" x14ac:dyDescent="0.3">
      <c r="A5" s="64"/>
      <c r="B5" s="63" t="s">
        <v>210</v>
      </c>
      <c r="C5" s="64"/>
      <c r="D5" s="5">
        <v>-1500</v>
      </c>
      <c r="E5" s="64"/>
      <c r="F5" s="64"/>
      <c r="G5" s="64"/>
      <c r="H5" s="64"/>
      <c r="I5" s="64"/>
    </row>
    <row r="6" spans="1:13" x14ac:dyDescent="0.3">
      <c r="A6" s="64"/>
      <c r="B6" s="63" t="s">
        <v>216</v>
      </c>
      <c r="C6" s="64"/>
      <c r="D6" s="5">
        <v>-1500</v>
      </c>
      <c r="E6" s="64"/>
      <c r="F6" s="64"/>
      <c r="G6" s="64"/>
      <c r="H6" s="64"/>
      <c r="I6" s="64"/>
    </row>
    <row r="7" spans="1:13" x14ac:dyDescent="0.3">
      <c r="A7" s="64"/>
      <c r="B7" s="63" t="s">
        <v>50</v>
      </c>
      <c r="C7" s="64" t="s">
        <v>51</v>
      </c>
      <c r="D7" s="5">
        <v>-3000</v>
      </c>
      <c r="E7" s="65" t="s">
        <v>52</v>
      </c>
      <c r="F7" s="64"/>
      <c r="G7" s="64"/>
      <c r="H7" s="64"/>
      <c r="I7" s="64"/>
    </row>
    <row r="8" spans="1:13" ht="16.2" x14ac:dyDescent="0.45">
      <c r="A8" s="64"/>
      <c r="B8" s="63" t="s">
        <v>53</v>
      </c>
      <c r="C8" s="64" t="s">
        <v>51</v>
      </c>
      <c r="D8" s="36">
        <v>-3000</v>
      </c>
      <c r="E8" s="65" t="s">
        <v>54</v>
      </c>
      <c r="F8" s="64"/>
      <c r="G8" s="64"/>
      <c r="H8" s="64"/>
      <c r="I8" s="64"/>
    </row>
    <row r="9" spans="1:13" x14ac:dyDescent="0.3">
      <c r="B9" s="63" t="s">
        <v>55</v>
      </c>
      <c r="C9" s="64"/>
      <c r="D9" s="5">
        <f>SUM(D2:D8)</f>
        <v>0</v>
      </c>
    </row>
    <row r="10" spans="1:13" x14ac:dyDescent="0.3">
      <c r="D10" s="106"/>
      <c r="M10" s="68"/>
    </row>
    <row r="11" spans="1:13" x14ac:dyDescent="0.3">
      <c r="M11" s="68"/>
    </row>
    <row r="12" spans="1:13" x14ac:dyDescent="0.3">
      <c r="A12" s="69" t="s">
        <v>56</v>
      </c>
      <c r="B12" s="70" t="s">
        <v>57</v>
      </c>
      <c r="C12" s="70" t="s">
        <v>58</v>
      </c>
      <c r="D12" s="70" t="s">
        <v>59</v>
      </c>
      <c r="E12" s="70" t="s">
        <v>60</v>
      </c>
      <c r="F12" s="71" t="s">
        <v>61</v>
      </c>
      <c r="G12" s="72" t="s">
        <v>62</v>
      </c>
      <c r="H12" s="73" t="s">
        <v>63</v>
      </c>
      <c r="I12" s="74" t="s">
        <v>64</v>
      </c>
      <c r="K12" s="75"/>
      <c r="L12" s="75"/>
      <c r="M12" s="68"/>
    </row>
    <row r="13" spans="1:13" x14ac:dyDescent="0.3">
      <c r="A13" s="65" t="s">
        <v>65</v>
      </c>
      <c r="B13" t="s">
        <v>66</v>
      </c>
      <c r="F13" s="66" t="s">
        <v>64</v>
      </c>
      <c r="G13" s="67">
        <v>0</v>
      </c>
      <c r="H13" s="67">
        <v>0</v>
      </c>
      <c r="I13" s="5">
        <v>4698.99</v>
      </c>
      <c r="K13" s="76"/>
      <c r="M13" s="68"/>
    </row>
    <row r="14" spans="1:13" x14ac:dyDescent="0.3">
      <c r="A14" s="65">
        <v>43496</v>
      </c>
      <c r="B14" t="s">
        <v>67</v>
      </c>
      <c r="D14" t="s">
        <v>68</v>
      </c>
      <c r="E14" t="s">
        <v>69</v>
      </c>
      <c r="F14" s="66" t="s">
        <v>70</v>
      </c>
      <c r="G14" s="67">
        <v>750</v>
      </c>
      <c r="H14" s="67">
        <v>0</v>
      </c>
      <c r="I14" s="5">
        <f>+I13+G14+H14</f>
        <v>5448.99</v>
      </c>
      <c r="K14" s="76"/>
      <c r="M14" s="68"/>
    </row>
    <row r="15" spans="1:13" x14ac:dyDescent="0.3">
      <c r="A15" s="65">
        <v>43524</v>
      </c>
      <c r="B15" t="s">
        <v>71</v>
      </c>
      <c r="F15" s="66" t="s">
        <v>71</v>
      </c>
      <c r="G15" s="67">
        <v>0</v>
      </c>
      <c r="H15" s="67">
        <v>0</v>
      </c>
      <c r="I15" s="5">
        <f t="shared" ref="I15:I78" si="0">+I14+G15+H15</f>
        <v>5448.99</v>
      </c>
      <c r="K15" s="76"/>
      <c r="M15" s="68"/>
    </row>
    <row r="16" spans="1:13" x14ac:dyDescent="0.3">
      <c r="A16" s="65">
        <v>43555</v>
      </c>
      <c r="B16" t="s">
        <v>71</v>
      </c>
      <c r="F16" s="66" t="s">
        <v>71</v>
      </c>
      <c r="G16" s="67">
        <v>0</v>
      </c>
      <c r="H16" s="67">
        <v>0</v>
      </c>
      <c r="I16" s="5">
        <f t="shared" si="0"/>
        <v>5448.99</v>
      </c>
      <c r="K16" s="76"/>
      <c r="M16" s="68"/>
    </row>
    <row r="17" spans="1:13" x14ac:dyDescent="0.3">
      <c r="A17" s="65">
        <v>43585</v>
      </c>
      <c r="B17" t="s">
        <v>72</v>
      </c>
      <c r="D17" t="s">
        <v>73</v>
      </c>
      <c r="E17" t="s">
        <v>74</v>
      </c>
      <c r="F17" s="66" t="s">
        <v>70</v>
      </c>
      <c r="G17" s="67">
        <v>750</v>
      </c>
      <c r="H17" s="67">
        <v>0</v>
      </c>
      <c r="I17" s="5">
        <f t="shared" si="0"/>
        <v>6198.99</v>
      </c>
      <c r="K17" s="76"/>
      <c r="M17" s="68"/>
    </row>
    <row r="18" spans="1:13" x14ac:dyDescent="0.3">
      <c r="A18" s="65">
        <v>43616</v>
      </c>
      <c r="B18" t="s">
        <v>71</v>
      </c>
      <c r="F18" s="66" t="s">
        <v>71</v>
      </c>
      <c r="G18" s="67">
        <v>0</v>
      </c>
      <c r="H18" s="67">
        <v>0</v>
      </c>
      <c r="I18" s="5">
        <f t="shared" si="0"/>
        <v>6198.99</v>
      </c>
      <c r="K18" s="76"/>
      <c r="M18" s="68"/>
    </row>
    <row r="19" spans="1:13" x14ac:dyDescent="0.3">
      <c r="A19" s="65">
        <v>43646</v>
      </c>
      <c r="B19" t="s">
        <v>67</v>
      </c>
      <c r="D19" t="s">
        <v>68</v>
      </c>
      <c r="E19" t="s">
        <v>69</v>
      </c>
      <c r="F19" s="66" t="s">
        <v>75</v>
      </c>
      <c r="G19" s="67">
        <v>0</v>
      </c>
      <c r="H19" s="67">
        <v>-751.12</v>
      </c>
      <c r="I19" s="5">
        <f t="shared" si="0"/>
        <v>5447.87</v>
      </c>
      <c r="K19" s="76"/>
      <c r="M19" s="68"/>
    </row>
    <row r="20" spans="1:13" x14ac:dyDescent="0.3">
      <c r="A20" s="65">
        <v>43677</v>
      </c>
      <c r="B20" t="s">
        <v>76</v>
      </c>
      <c r="C20" s="77" t="s">
        <v>77</v>
      </c>
      <c r="D20" t="s">
        <v>78</v>
      </c>
      <c r="F20" s="66" t="s">
        <v>70</v>
      </c>
      <c r="G20" s="67">
        <v>750</v>
      </c>
      <c r="H20" s="67">
        <v>0</v>
      </c>
      <c r="I20" s="5">
        <f t="shared" si="0"/>
        <v>6197.87</v>
      </c>
      <c r="K20" s="76"/>
      <c r="M20" s="68"/>
    </row>
    <row r="21" spans="1:13" x14ac:dyDescent="0.3">
      <c r="A21" s="65">
        <v>43677</v>
      </c>
      <c r="B21" t="s">
        <v>72</v>
      </c>
      <c r="D21" t="s">
        <v>73</v>
      </c>
      <c r="E21" t="s">
        <v>74</v>
      </c>
      <c r="F21" s="66" t="s">
        <v>75</v>
      </c>
      <c r="G21" s="67">
        <v>0</v>
      </c>
      <c r="H21" s="67">
        <v>-750.51</v>
      </c>
      <c r="I21" s="5">
        <f t="shared" si="0"/>
        <v>5447.36</v>
      </c>
      <c r="K21" s="76"/>
      <c r="M21" s="68"/>
    </row>
    <row r="22" spans="1:13" x14ac:dyDescent="0.3">
      <c r="A22" s="65">
        <v>43708</v>
      </c>
      <c r="B22" t="s">
        <v>71</v>
      </c>
      <c r="F22" s="66" t="s">
        <v>71</v>
      </c>
      <c r="G22" s="67">
        <v>0</v>
      </c>
      <c r="H22" s="67">
        <v>0</v>
      </c>
      <c r="I22" s="5">
        <f t="shared" si="0"/>
        <v>5447.36</v>
      </c>
      <c r="K22" s="76"/>
      <c r="M22" s="68"/>
    </row>
    <row r="23" spans="1:13" x14ac:dyDescent="0.3">
      <c r="A23" s="65">
        <v>43738</v>
      </c>
      <c r="B23" t="s">
        <v>71</v>
      </c>
      <c r="F23" s="66" t="s">
        <v>71</v>
      </c>
      <c r="G23" s="67">
        <v>0</v>
      </c>
      <c r="H23" s="67">
        <v>0</v>
      </c>
      <c r="I23" s="5">
        <f t="shared" si="0"/>
        <v>5447.36</v>
      </c>
      <c r="K23" s="76"/>
      <c r="M23" s="68"/>
    </row>
    <row r="24" spans="1:13" x14ac:dyDescent="0.3">
      <c r="A24" s="65">
        <v>43769</v>
      </c>
      <c r="B24" t="s">
        <v>71</v>
      </c>
      <c r="F24" s="66" t="s">
        <v>71</v>
      </c>
      <c r="G24" s="67">
        <v>0</v>
      </c>
      <c r="H24" s="67">
        <v>0</v>
      </c>
      <c r="I24" s="5">
        <f t="shared" si="0"/>
        <v>5447.36</v>
      </c>
      <c r="K24" s="76"/>
      <c r="M24" s="68"/>
    </row>
    <row r="25" spans="1:13" x14ac:dyDescent="0.3">
      <c r="A25" s="65">
        <v>43799</v>
      </c>
      <c r="B25" t="s">
        <v>79</v>
      </c>
      <c r="D25" t="s">
        <v>80</v>
      </c>
      <c r="E25" t="s">
        <v>81</v>
      </c>
      <c r="F25" s="66" t="s">
        <v>75</v>
      </c>
      <c r="G25" s="67">
        <v>0</v>
      </c>
      <c r="H25" s="67">
        <v>-1505.29</v>
      </c>
      <c r="I25" s="5">
        <f t="shared" si="0"/>
        <v>3942.0699999999997</v>
      </c>
      <c r="K25" s="76"/>
      <c r="M25" s="68"/>
    </row>
    <row r="26" spans="1:13" x14ac:dyDescent="0.3">
      <c r="A26" s="65">
        <v>43830</v>
      </c>
      <c r="B26" t="s">
        <v>71</v>
      </c>
      <c r="F26" s="66" t="s">
        <v>82</v>
      </c>
      <c r="G26" s="67">
        <v>13.34</v>
      </c>
      <c r="H26" s="67">
        <v>0</v>
      </c>
      <c r="I26" s="5">
        <f t="shared" si="0"/>
        <v>3955.41</v>
      </c>
      <c r="K26" s="76"/>
      <c r="M26" s="68"/>
    </row>
    <row r="27" spans="1:13" x14ac:dyDescent="0.3">
      <c r="A27" s="65">
        <v>43861</v>
      </c>
      <c r="B27" t="s">
        <v>71</v>
      </c>
      <c r="F27" s="66" t="s">
        <v>71</v>
      </c>
      <c r="G27" s="67">
        <v>0</v>
      </c>
      <c r="H27" s="67">
        <v>0</v>
      </c>
      <c r="I27" s="5">
        <f t="shared" si="0"/>
        <v>3955.41</v>
      </c>
      <c r="M27" s="68"/>
    </row>
    <row r="28" spans="1:13" x14ac:dyDescent="0.3">
      <c r="A28" s="65">
        <v>43889</v>
      </c>
      <c r="B28" t="s">
        <v>71</v>
      </c>
      <c r="F28" s="66" t="s">
        <v>71</v>
      </c>
      <c r="G28" s="67">
        <v>0</v>
      </c>
      <c r="H28" s="67">
        <v>0</v>
      </c>
      <c r="I28" s="5">
        <f t="shared" si="0"/>
        <v>3955.41</v>
      </c>
      <c r="M28" s="68"/>
    </row>
    <row r="29" spans="1:13" x14ac:dyDescent="0.3">
      <c r="A29" s="65">
        <v>43921</v>
      </c>
      <c r="B29" t="s">
        <v>83</v>
      </c>
      <c r="C29" s="77" t="s">
        <v>84</v>
      </c>
      <c r="F29" s="66" t="s">
        <v>70</v>
      </c>
      <c r="G29" s="67">
        <v>1500</v>
      </c>
      <c r="H29" s="67">
        <v>0</v>
      </c>
      <c r="I29" s="5">
        <f t="shared" si="0"/>
        <v>5455.41</v>
      </c>
      <c r="L29" s="78"/>
      <c r="M29" s="68"/>
    </row>
    <row r="30" spans="1:13" x14ac:dyDescent="0.3">
      <c r="A30" s="65" t="s">
        <v>85</v>
      </c>
      <c r="B30" t="s">
        <v>86</v>
      </c>
      <c r="F30" s="66" t="s">
        <v>82</v>
      </c>
      <c r="G30" s="67">
        <v>3.92</v>
      </c>
      <c r="H30" s="67">
        <v>0</v>
      </c>
      <c r="I30" s="5">
        <f t="shared" si="0"/>
        <v>5459.33</v>
      </c>
      <c r="M30" s="68"/>
    </row>
    <row r="31" spans="1:13" x14ac:dyDescent="0.3">
      <c r="A31" s="65">
        <v>43982</v>
      </c>
      <c r="B31" t="s">
        <v>87</v>
      </c>
      <c r="F31" s="66" t="s">
        <v>82</v>
      </c>
      <c r="G31" s="67">
        <v>1.1399999999999999</v>
      </c>
      <c r="H31" s="67">
        <v>0</v>
      </c>
      <c r="I31" s="5">
        <f t="shared" si="0"/>
        <v>5460.47</v>
      </c>
      <c r="M31" s="68"/>
    </row>
    <row r="32" spans="1:13" x14ac:dyDescent="0.3">
      <c r="A32" s="65">
        <v>44012</v>
      </c>
      <c r="B32" t="s">
        <v>88</v>
      </c>
      <c r="C32" s="77" t="s">
        <v>89</v>
      </c>
      <c r="E32" t="s">
        <v>90</v>
      </c>
      <c r="F32" s="66" t="s">
        <v>70</v>
      </c>
      <c r="G32" s="67">
        <v>750</v>
      </c>
      <c r="H32" s="67">
        <v>0</v>
      </c>
      <c r="I32" s="5">
        <f t="shared" si="0"/>
        <v>6210.47</v>
      </c>
      <c r="M32" s="68"/>
    </row>
    <row r="33" spans="1:13" x14ac:dyDescent="0.3">
      <c r="A33" s="65">
        <v>44012</v>
      </c>
      <c r="B33" t="s">
        <v>91</v>
      </c>
      <c r="C33" s="77" t="s">
        <v>92</v>
      </c>
      <c r="D33" t="s">
        <v>93</v>
      </c>
      <c r="E33" t="s">
        <v>94</v>
      </c>
      <c r="F33" s="66" t="s">
        <v>70</v>
      </c>
      <c r="G33" s="67">
        <v>750</v>
      </c>
      <c r="H33" s="67">
        <v>0</v>
      </c>
      <c r="I33" s="5">
        <f t="shared" si="0"/>
        <v>6960.47</v>
      </c>
      <c r="M33" s="68"/>
    </row>
    <row r="34" spans="1:13" ht="16.2" x14ac:dyDescent="0.45">
      <c r="A34" s="65">
        <v>44012</v>
      </c>
      <c r="B34" t="s">
        <v>87</v>
      </c>
      <c r="F34" s="66" t="s">
        <v>70</v>
      </c>
      <c r="G34" s="67">
        <v>1.45</v>
      </c>
      <c r="H34" s="67">
        <v>0</v>
      </c>
      <c r="I34" s="5">
        <f t="shared" si="0"/>
        <v>6961.92</v>
      </c>
      <c r="M34" s="79"/>
    </row>
    <row r="35" spans="1:13" x14ac:dyDescent="0.3">
      <c r="A35" s="65">
        <v>44043</v>
      </c>
      <c r="B35" t="s">
        <v>95</v>
      </c>
      <c r="C35" s="77" t="s">
        <v>96</v>
      </c>
      <c r="D35" t="s">
        <v>97</v>
      </c>
      <c r="E35" t="s">
        <v>98</v>
      </c>
      <c r="F35" s="66" t="s">
        <v>70</v>
      </c>
      <c r="G35" s="67">
        <v>1500</v>
      </c>
      <c r="H35" s="67">
        <v>0</v>
      </c>
      <c r="I35" s="5">
        <f t="shared" si="0"/>
        <v>8461.92</v>
      </c>
      <c r="M35" s="68"/>
    </row>
    <row r="36" spans="1:13" x14ac:dyDescent="0.3">
      <c r="A36" s="65">
        <v>44043</v>
      </c>
      <c r="B36" t="s">
        <v>99</v>
      </c>
      <c r="C36" s="77" t="s">
        <v>100</v>
      </c>
      <c r="D36" t="s">
        <v>101</v>
      </c>
      <c r="E36" t="s">
        <v>102</v>
      </c>
      <c r="F36" s="66" t="s">
        <v>70</v>
      </c>
      <c r="G36" s="67">
        <v>750</v>
      </c>
      <c r="H36" s="67">
        <v>0</v>
      </c>
      <c r="I36" s="5">
        <f t="shared" si="0"/>
        <v>9211.92</v>
      </c>
      <c r="M36" s="68"/>
    </row>
    <row r="37" spans="1:13" x14ac:dyDescent="0.3">
      <c r="A37" s="65">
        <v>44043</v>
      </c>
      <c r="B37" t="s">
        <v>87</v>
      </c>
      <c r="F37" s="66" t="s">
        <v>82</v>
      </c>
      <c r="G37" s="67">
        <v>1.92</v>
      </c>
      <c r="H37" s="67">
        <v>0</v>
      </c>
      <c r="I37" s="5">
        <f t="shared" si="0"/>
        <v>9213.84</v>
      </c>
    </row>
    <row r="38" spans="1:13" x14ac:dyDescent="0.3">
      <c r="A38" s="65">
        <v>44073</v>
      </c>
      <c r="B38" t="s">
        <v>99</v>
      </c>
      <c r="C38" s="77" t="s">
        <v>100</v>
      </c>
      <c r="D38" t="s">
        <v>101</v>
      </c>
      <c r="E38" t="s">
        <v>102</v>
      </c>
      <c r="F38" s="66" t="s">
        <v>75</v>
      </c>
      <c r="G38" s="67">
        <v>0</v>
      </c>
      <c r="H38" s="67">
        <v>-750.05</v>
      </c>
      <c r="I38" s="5">
        <f t="shared" si="0"/>
        <v>8463.7900000000009</v>
      </c>
    </row>
    <row r="39" spans="1:13" x14ac:dyDescent="0.3">
      <c r="A39" s="65">
        <v>44073</v>
      </c>
      <c r="B39" t="s">
        <v>91</v>
      </c>
      <c r="C39" s="77" t="s">
        <v>92</v>
      </c>
      <c r="D39" t="s">
        <v>93</v>
      </c>
      <c r="E39" t="s">
        <v>94</v>
      </c>
      <c r="F39" s="66" t="s">
        <v>75</v>
      </c>
      <c r="G39" s="67">
        <v>0</v>
      </c>
      <c r="H39" s="67">
        <v>-750.27</v>
      </c>
      <c r="I39" s="5">
        <f t="shared" si="0"/>
        <v>7713.52</v>
      </c>
    </row>
    <row r="40" spans="1:13" x14ac:dyDescent="0.3">
      <c r="A40" s="65">
        <v>44073</v>
      </c>
      <c r="B40" t="s">
        <v>95</v>
      </c>
      <c r="C40" s="77" t="s">
        <v>96</v>
      </c>
      <c r="D40" t="s">
        <v>103</v>
      </c>
      <c r="E40" t="s">
        <v>98</v>
      </c>
      <c r="F40" s="66" t="s">
        <v>75</v>
      </c>
      <c r="G40" s="67">
        <v>0</v>
      </c>
      <c r="H40" s="67">
        <v>-1500.37</v>
      </c>
      <c r="I40" s="5">
        <f t="shared" si="0"/>
        <v>6213.1500000000005</v>
      </c>
    </row>
    <row r="41" spans="1:13" x14ac:dyDescent="0.3">
      <c r="A41" s="65">
        <v>44073</v>
      </c>
      <c r="B41" t="s">
        <v>76</v>
      </c>
      <c r="D41" t="s">
        <v>78</v>
      </c>
      <c r="F41" s="66" t="s">
        <v>75</v>
      </c>
      <c r="G41" s="67">
        <v>0</v>
      </c>
      <c r="H41" s="67">
        <v>-752.52</v>
      </c>
      <c r="I41" s="5">
        <f t="shared" si="0"/>
        <v>5460.630000000001</v>
      </c>
    </row>
    <row r="42" spans="1:13" x14ac:dyDescent="0.3">
      <c r="A42" s="65">
        <v>44073</v>
      </c>
      <c r="B42" t="s">
        <v>104</v>
      </c>
      <c r="D42" t="s">
        <v>105</v>
      </c>
      <c r="E42" t="s">
        <v>106</v>
      </c>
      <c r="F42" s="66" t="s">
        <v>70</v>
      </c>
      <c r="G42" s="67">
        <v>750</v>
      </c>
      <c r="H42" s="67">
        <v>0</v>
      </c>
      <c r="I42" s="5">
        <f t="shared" si="0"/>
        <v>6210.630000000001</v>
      </c>
    </row>
    <row r="43" spans="1:13" x14ac:dyDescent="0.3">
      <c r="A43" s="65">
        <v>44073</v>
      </c>
      <c r="B43" t="s">
        <v>87</v>
      </c>
      <c r="F43" s="66" t="s">
        <v>82</v>
      </c>
      <c r="G43" s="67">
        <v>1.29</v>
      </c>
      <c r="H43" s="67">
        <v>0</v>
      </c>
      <c r="I43" s="5">
        <f t="shared" si="0"/>
        <v>6211.920000000001</v>
      </c>
    </row>
    <row r="44" spans="1:13" x14ac:dyDescent="0.3">
      <c r="A44" s="65">
        <v>44104</v>
      </c>
      <c r="B44" t="s">
        <v>107</v>
      </c>
      <c r="C44" s="77" t="s">
        <v>108</v>
      </c>
      <c r="D44" t="s">
        <v>109</v>
      </c>
      <c r="E44" t="s">
        <v>98</v>
      </c>
      <c r="F44" s="66" t="s">
        <v>70</v>
      </c>
      <c r="G44" s="67">
        <v>1500</v>
      </c>
      <c r="H44" s="67">
        <v>0</v>
      </c>
      <c r="I44" s="5">
        <f t="shared" si="0"/>
        <v>7711.920000000001</v>
      </c>
    </row>
    <row r="45" spans="1:13" x14ac:dyDescent="0.3">
      <c r="A45" s="65">
        <v>44104</v>
      </c>
      <c r="B45" t="s">
        <v>110</v>
      </c>
      <c r="C45" s="77" t="s">
        <v>111</v>
      </c>
      <c r="D45" t="s">
        <v>112</v>
      </c>
      <c r="E45" t="s">
        <v>113</v>
      </c>
      <c r="F45" s="66" t="s">
        <v>70</v>
      </c>
      <c r="G45" s="67">
        <v>3000</v>
      </c>
      <c r="H45" s="67">
        <v>0</v>
      </c>
      <c r="I45" s="5">
        <f t="shared" si="0"/>
        <v>10711.920000000002</v>
      </c>
    </row>
    <row r="46" spans="1:13" x14ac:dyDescent="0.3">
      <c r="A46" s="65">
        <v>44104</v>
      </c>
      <c r="B46" t="s">
        <v>114</v>
      </c>
      <c r="D46" t="s">
        <v>115</v>
      </c>
      <c r="E46" t="s">
        <v>116</v>
      </c>
      <c r="F46" s="66" t="s">
        <v>70</v>
      </c>
      <c r="G46" s="67">
        <v>750</v>
      </c>
      <c r="H46" s="67">
        <v>0</v>
      </c>
      <c r="I46" s="5">
        <f t="shared" si="0"/>
        <v>11461.920000000002</v>
      </c>
    </row>
    <row r="47" spans="1:13" x14ac:dyDescent="0.3">
      <c r="A47" s="65">
        <v>44104</v>
      </c>
      <c r="B47" t="s">
        <v>88</v>
      </c>
      <c r="D47" t="s">
        <v>93</v>
      </c>
      <c r="E47" t="s">
        <v>90</v>
      </c>
      <c r="F47" s="66" t="s">
        <v>75</v>
      </c>
      <c r="G47" s="67">
        <v>0</v>
      </c>
      <c r="H47" s="67">
        <v>-750.6</v>
      </c>
      <c r="I47" s="5">
        <f t="shared" si="0"/>
        <v>10711.320000000002</v>
      </c>
    </row>
    <row r="48" spans="1:13" x14ac:dyDescent="0.3">
      <c r="A48" s="65">
        <v>44104</v>
      </c>
      <c r="B48" t="s">
        <v>87</v>
      </c>
      <c r="F48" s="66" t="s">
        <v>82</v>
      </c>
      <c r="G48" s="67">
        <v>2.23</v>
      </c>
      <c r="H48" s="67">
        <v>0</v>
      </c>
      <c r="I48" s="5">
        <f t="shared" si="0"/>
        <v>10713.550000000001</v>
      </c>
    </row>
    <row r="49" spans="1:9" x14ac:dyDescent="0.3">
      <c r="A49" s="65">
        <v>44134</v>
      </c>
      <c r="B49" t="s">
        <v>104</v>
      </c>
      <c r="D49" t="s">
        <v>105</v>
      </c>
      <c r="E49" t="s">
        <v>106</v>
      </c>
      <c r="F49" s="66" t="s">
        <v>75</v>
      </c>
      <c r="G49" s="67">
        <v>0</v>
      </c>
      <c r="H49" s="67">
        <v>-750.35</v>
      </c>
      <c r="I49" s="5">
        <f t="shared" si="0"/>
        <v>9963.2000000000007</v>
      </c>
    </row>
    <row r="50" spans="1:9" x14ac:dyDescent="0.3">
      <c r="A50" s="65">
        <v>44134</v>
      </c>
      <c r="B50" t="s">
        <v>87</v>
      </c>
      <c r="F50" s="66" t="s">
        <v>82</v>
      </c>
      <c r="G50" s="67">
        <v>2.08</v>
      </c>
      <c r="H50" s="67">
        <v>0</v>
      </c>
      <c r="I50" s="5">
        <f t="shared" si="0"/>
        <v>9965.2800000000007</v>
      </c>
    </row>
    <row r="51" spans="1:9" x14ac:dyDescent="0.3">
      <c r="A51" s="65">
        <v>44165</v>
      </c>
      <c r="B51" t="s">
        <v>87</v>
      </c>
      <c r="F51" s="66" t="s">
        <v>82</v>
      </c>
      <c r="G51" s="67">
        <v>2.08</v>
      </c>
      <c r="H51" s="67">
        <v>0</v>
      </c>
      <c r="I51" s="5">
        <f t="shared" si="0"/>
        <v>9967.36</v>
      </c>
    </row>
    <row r="52" spans="1:9" x14ac:dyDescent="0.3">
      <c r="A52" s="65">
        <v>44196</v>
      </c>
      <c r="B52" t="s">
        <v>87</v>
      </c>
      <c r="F52" s="66" t="s">
        <v>82</v>
      </c>
      <c r="G52" s="67">
        <v>2.39</v>
      </c>
      <c r="H52" s="67">
        <v>0</v>
      </c>
      <c r="I52" s="5">
        <f t="shared" si="0"/>
        <v>9969.75</v>
      </c>
    </row>
    <row r="53" spans="1:9" x14ac:dyDescent="0.3">
      <c r="A53" s="65" t="s">
        <v>117</v>
      </c>
      <c r="B53" t="s">
        <v>118</v>
      </c>
      <c r="C53" s="77" t="s">
        <v>119</v>
      </c>
      <c r="D53" t="s">
        <v>120</v>
      </c>
      <c r="E53" t="s">
        <v>98</v>
      </c>
      <c r="F53" s="66" t="s">
        <v>70</v>
      </c>
      <c r="G53" s="67">
        <v>1500</v>
      </c>
      <c r="H53" s="67">
        <v>0</v>
      </c>
      <c r="I53" s="5">
        <f t="shared" si="0"/>
        <v>11469.75</v>
      </c>
    </row>
    <row r="54" spans="1:9" x14ac:dyDescent="0.3">
      <c r="A54" s="65">
        <v>44226</v>
      </c>
      <c r="B54" t="s">
        <v>87</v>
      </c>
      <c r="F54" s="66" t="s">
        <v>82</v>
      </c>
      <c r="G54" s="67">
        <v>2.39</v>
      </c>
      <c r="H54" s="67">
        <v>0</v>
      </c>
      <c r="I54" s="5">
        <f t="shared" si="0"/>
        <v>11472.14</v>
      </c>
    </row>
    <row r="55" spans="1:9" x14ac:dyDescent="0.3">
      <c r="A55" s="65">
        <v>44255</v>
      </c>
      <c r="B55" t="s">
        <v>87</v>
      </c>
      <c r="F55" s="66" t="s">
        <v>82</v>
      </c>
      <c r="G55" s="67">
        <v>2.39</v>
      </c>
      <c r="H55" s="67">
        <v>0</v>
      </c>
      <c r="I55" s="5">
        <f t="shared" si="0"/>
        <v>11474.529999999999</v>
      </c>
    </row>
    <row r="56" spans="1:9" x14ac:dyDescent="0.3">
      <c r="A56" s="65">
        <v>44285</v>
      </c>
      <c r="B56" t="s">
        <v>87</v>
      </c>
      <c r="F56" s="66" t="s">
        <v>82</v>
      </c>
      <c r="G56" s="67">
        <v>2.7</v>
      </c>
      <c r="H56" s="67">
        <v>0</v>
      </c>
      <c r="I56" s="5">
        <f t="shared" si="0"/>
        <v>11477.23</v>
      </c>
    </row>
    <row r="57" spans="1:9" x14ac:dyDescent="0.3">
      <c r="A57" s="65">
        <v>44286</v>
      </c>
      <c r="B57" t="s">
        <v>121</v>
      </c>
      <c r="C57" s="77" t="s">
        <v>122</v>
      </c>
      <c r="D57" t="s">
        <v>123</v>
      </c>
      <c r="E57" t="s">
        <v>106</v>
      </c>
      <c r="F57" s="66" t="s">
        <v>70</v>
      </c>
      <c r="G57" s="67">
        <v>1500</v>
      </c>
      <c r="H57" s="67">
        <v>0</v>
      </c>
      <c r="I57" s="5">
        <f t="shared" si="0"/>
        <v>12977.23</v>
      </c>
    </row>
    <row r="58" spans="1:9" x14ac:dyDescent="0.3">
      <c r="A58" s="65">
        <v>44316</v>
      </c>
      <c r="B58" t="s">
        <v>87</v>
      </c>
      <c r="F58" s="66" t="s">
        <v>82</v>
      </c>
      <c r="G58" s="67">
        <v>2.7</v>
      </c>
      <c r="H58" s="67">
        <v>0</v>
      </c>
      <c r="I58" s="5">
        <f t="shared" si="0"/>
        <v>12979.93</v>
      </c>
    </row>
    <row r="59" spans="1:9" x14ac:dyDescent="0.3">
      <c r="A59" s="65">
        <v>44347</v>
      </c>
      <c r="B59" t="s">
        <v>87</v>
      </c>
      <c r="F59" s="66" t="s">
        <v>82</v>
      </c>
      <c r="G59" s="67">
        <v>2.39</v>
      </c>
      <c r="H59" s="67">
        <v>0</v>
      </c>
      <c r="I59" s="5">
        <f t="shared" si="0"/>
        <v>12982.32</v>
      </c>
    </row>
    <row r="60" spans="1:9" x14ac:dyDescent="0.3">
      <c r="A60" s="65">
        <v>44347</v>
      </c>
      <c r="B60" t="s">
        <v>107</v>
      </c>
      <c r="C60" s="77" t="s">
        <v>108</v>
      </c>
      <c r="D60" t="s">
        <v>109</v>
      </c>
      <c r="E60" t="s">
        <v>98</v>
      </c>
      <c r="F60" s="66" t="s">
        <v>75</v>
      </c>
      <c r="G60" s="67">
        <v>0</v>
      </c>
      <c r="H60" s="67">
        <v>-1502.9</v>
      </c>
      <c r="I60" s="5">
        <f t="shared" si="0"/>
        <v>11479.42</v>
      </c>
    </row>
    <row r="61" spans="1:9" x14ac:dyDescent="0.3">
      <c r="A61" s="65">
        <v>44377</v>
      </c>
      <c r="B61" t="s">
        <v>124</v>
      </c>
      <c r="C61" s="77" t="s">
        <v>125</v>
      </c>
      <c r="D61" t="s">
        <v>126</v>
      </c>
      <c r="E61" t="s">
        <v>69</v>
      </c>
      <c r="F61" s="66" t="s">
        <v>70</v>
      </c>
      <c r="G61" s="67">
        <v>750</v>
      </c>
      <c r="H61" s="67">
        <v>0</v>
      </c>
      <c r="I61" s="5">
        <f t="shared" si="0"/>
        <v>12229.42</v>
      </c>
    </row>
    <row r="62" spans="1:9" x14ac:dyDescent="0.3">
      <c r="A62" s="65">
        <v>44377</v>
      </c>
      <c r="B62" t="s">
        <v>87</v>
      </c>
      <c r="F62" s="66" t="s">
        <v>82</v>
      </c>
      <c r="G62" s="67">
        <v>2.5499999999999998</v>
      </c>
      <c r="H62" s="67">
        <v>0</v>
      </c>
      <c r="I62" s="5">
        <f t="shared" si="0"/>
        <v>12231.97</v>
      </c>
    </row>
    <row r="63" spans="1:9" x14ac:dyDescent="0.3">
      <c r="A63" s="65">
        <v>44408</v>
      </c>
      <c r="B63" t="s">
        <v>87</v>
      </c>
      <c r="F63" s="66" t="s">
        <v>82</v>
      </c>
      <c r="G63" s="67">
        <v>3.02</v>
      </c>
      <c r="H63" s="67">
        <v>0</v>
      </c>
      <c r="I63" s="5">
        <f t="shared" si="0"/>
        <v>12234.99</v>
      </c>
    </row>
    <row r="64" spans="1:9" x14ac:dyDescent="0.3">
      <c r="A64" s="65">
        <v>44408</v>
      </c>
      <c r="B64" t="s">
        <v>127</v>
      </c>
      <c r="C64" s="77" t="s">
        <v>128</v>
      </c>
      <c r="D64" t="s">
        <v>129</v>
      </c>
      <c r="E64" t="s">
        <v>69</v>
      </c>
      <c r="F64" s="66" t="s">
        <v>70</v>
      </c>
      <c r="G64" s="67">
        <v>750</v>
      </c>
      <c r="H64" s="67">
        <v>0</v>
      </c>
      <c r="I64" s="5">
        <f t="shared" si="0"/>
        <v>12984.99</v>
      </c>
    </row>
    <row r="65" spans="1:9" x14ac:dyDescent="0.3">
      <c r="A65" s="65">
        <v>44408</v>
      </c>
      <c r="B65" t="s">
        <v>130</v>
      </c>
      <c r="C65" s="77" t="s">
        <v>131</v>
      </c>
      <c r="D65" t="s">
        <v>132</v>
      </c>
      <c r="E65" t="s">
        <v>98</v>
      </c>
      <c r="F65" s="66" t="s">
        <v>70</v>
      </c>
      <c r="G65" s="67">
        <v>1500</v>
      </c>
      <c r="H65" s="67">
        <v>0</v>
      </c>
      <c r="I65" s="5">
        <f t="shared" si="0"/>
        <v>14484.99</v>
      </c>
    </row>
    <row r="66" spans="1:9" x14ac:dyDescent="0.3">
      <c r="A66" s="65">
        <v>44438</v>
      </c>
      <c r="B66" t="s">
        <v>87</v>
      </c>
      <c r="F66" s="66" t="s">
        <v>82</v>
      </c>
      <c r="G66" s="67">
        <v>2.5499999999999998</v>
      </c>
      <c r="H66" s="67">
        <v>0</v>
      </c>
      <c r="I66" s="5">
        <f t="shared" si="0"/>
        <v>14487.539999999999</v>
      </c>
    </row>
    <row r="67" spans="1:9" x14ac:dyDescent="0.3">
      <c r="A67" s="65">
        <v>44438</v>
      </c>
      <c r="B67" t="s">
        <v>114</v>
      </c>
      <c r="D67" t="s">
        <v>115</v>
      </c>
      <c r="E67" t="s">
        <v>116</v>
      </c>
      <c r="F67" s="66" t="s">
        <v>75</v>
      </c>
      <c r="G67" s="67">
        <v>0</v>
      </c>
      <c r="H67" s="67">
        <v>-751.99</v>
      </c>
      <c r="I67" s="5">
        <f t="shared" si="0"/>
        <v>13735.55</v>
      </c>
    </row>
    <row r="68" spans="1:9" x14ac:dyDescent="0.3">
      <c r="A68" s="65">
        <v>44438</v>
      </c>
      <c r="B68" t="s">
        <v>83</v>
      </c>
      <c r="C68" s="77" t="s">
        <v>84</v>
      </c>
      <c r="F68" s="66" t="s">
        <v>75</v>
      </c>
      <c r="G68" s="67">
        <v>0</v>
      </c>
      <c r="H68" s="67">
        <v>-1506.48</v>
      </c>
      <c r="I68" s="5">
        <f t="shared" si="0"/>
        <v>12229.07</v>
      </c>
    </row>
    <row r="69" spans="1:9" x14ac:dyDescent="0.3">
      <c r="A69" s="65">
        <v>44469</v>
      </c>
      <c r="B69" t="s">
        <v>87</v>
      </c>
      <c r="F69" s="66" t="s">
        <v>82</v>
      </c>
      <c r="G69" s="67">
        <v>2.5499999999999998</v>
      </c>
      <c r="H69" s="67">
        <v>0</v>
      </c>
      <c r="I69" s="5">
        <f t="shared" si="0"/>
        <v>12231.619999999999</v>
      </c>
    </row>
    <row r="70" spans="1:9" x14ac:dyDescent="0.3">
      <c r="A70" s="65">
        <v>44500</v>
      </c>
      <c r="B70" t="s">
        <v>87</v>
      </c>
      <c r="F70" s="66" t="s">
        <v>82</v>
      </c>
      <c r="G70" s="67">
        <v>2.5499999999999998</v>
      </c>
      <c r="H70" s="67">
        <v>0</v>
      </c>
      <c r="I70" s="5">
        <f t="shared" si="0"/>
        <v>12234.169999999998</v>
      </c>
    </row>
    <row r="71" spans="1:9" x14ac:dyDescent="0.3">
      <c r="A71" s="65">
        <v>44500</v>
      </c>
      <c r="B71" t="s">
        <v>133</v>
      </c>
      <c r="C71" s="77" t="s">
        <v>134</v>
      </c>
      <c r="D71" t="s">
        <v>135</v>
      </c>
      <c r="E71" t="s">
        <v>98</v>
      </c>
      <c r="F71" s="66" t="s">
        <v>70</v>
      </c>
      <c r="G71" s="67">
        <v>1500</v>
      </c>
      <c r="H71" s="67">
        <v>0</v>
      </c>
      <c r="I71" s="5">
        <f t="shared" si="0"/>
        <v>13734.169999999998</v>
      </c>
    </row>
    <row r="72" spans="1:9" x14ac:dyDescent="0.3">
      <c r="A72" s="65">
        <v>44500</v>
      </c>
      <c r="B72" t="s">
        <v>136</v>
      </c>
      <c r="C72" s="77" t="s">
        <v>137</v>
      </c>
      <c r="D72" t="s">
        <v>138</v>
      </c>
      <c r="E72" t="s">
        <v>69</v>
      </c>
      <c r="F72" s="66" t="s">
        <v>70</v>
      </c>
      <c r="G72" s="67">
        <v>750</v>
      </c>
      <c r="H72" s="67">
        <v>0</v>
      </c>
      <c r="I72" s="5">
        <f t="shared" si="0"/>
        <v>14484.169999999998</v>
      </c>
    </row>
    <row r="73" spans="1:9" x14ac:dyDescent="0.3">
      <c r="A73" s="65">
        <v>44530</v>
      </c>
      <c r="B73" t="s">
        <v>87</v>
      </c>
      <c r="F73" s="66" t="s">
        <v>82</v>
      </c>
      <c r="G73" s="67">
        <v>3.02</v>
      </c>
      <c r="H73" s="67">
        <v>0</v>
      </c>
      <c r="I73" s="5">
        <f t="shared" si="0"/>
        <v>14487.189999999999</v>
      </c>
    </row>
    <row r="74" spans="1:9" x14ac:dyDescent="0.3">
      <c r="A74" s="65">
        <v>44561</v>
      </c>
      <c r="B74" t="s">
        <v>87</v>
      </c>
      <c r="F74" s="66" t="s">
        <v>82</v>
      </c>
      <c r="G74" s="67">
        <v>2.7</v>
      </c>
      <c r="H74" s="67">
        <v>0</v>
      </c>
      <c r="I74" s="5">
        <f t="shared" si="0"/>
        <v>14489.89</v>
      </c>
    </row>
    <row r="75" spans="1:9" x14ac:dyDescent="0.3">
      <c r="A75" s="65" t="s">
        <v>139</v>
      </c>
      <c r="B75" t="s">
        <v>118</v>
      </c>
      <c r="C75" s="77" t="s">
        <v>119</v>
      </c>
      <c r="D75" t="s">
        <v>120</v>
      </c>
      <c r="E75" t="s">
        <v>98</v>
      </c>
      <c r="F75" s="66" t="s">
        <v>75</v>
      </c>
      <c r="G75" s="67">
        <v>0</v>
      </c>
      <c r="H75" s="67">
        <v>-1503.75</v>
      </c>
      <c r="I75" s="5">
        <f t="shared" si="0"/>
        <v>12986.14</v>
      </c>
    </row>
    <row r="76" spans="1:9" x14ac:dyDescent="0.3">
      <c r="A76" s="65">
        <v>44591</v>
      </c>
      <c r="B76" t="s">
        <v>87</v>
      </c>
      <c r="F76" s="66" t="s">
        <v>82</v>
      </c>
      <c r="G76" s="67">
        <v>2.5499999999999998</v>
      </c>
      <c r="H76" s="67">
        <v>0</v>
      </c>
      <c r="I76" s="5">
        <f t="shared" si="0"/>
        <v>12988.689999999999</v>
      </c>
    </row>
    <row r="77" spans="1:9" x14ac:dyDescent="0.3">
      <c r="A77" s="65">
        <v>44591</v>
      </c>
      <c r="B77" t="s">
        <v>124</v>
      </c>
      <c r="C77" s="77" t="s">
        <v>125</v>
      </c>
      <c r="D77" t="s">
        <v>126</v>
      </c>
      <c r="E77" t="s">
        <v>69</v>
      </c>
      <c r="F77" s="66" t="s">
        <v>75</v>
      </c>
      <c r="G77" s="67">
        <v>0</v>
      </c>
      <c r="H77" s="67">
        <v>-751.15</v>
      </c>
      <c r="I77" s="5">
        <f t="shared" si="0"/>
        <v>12237.539999999999</v>
      </c>
    </row>
    <row r="78" spans="1:9" x14ac:dyDescent="0.3">
      <c r="A78" s="65">
        <v>44620</v>
      </c>
      <c r="B78" t="s">
        <v>87</v>
      </c>
      <c r="F78" s="66" t="s">
        <v>82</v>
      </c>
      <c r="G78" s="67">
        <v>2.5499999999999998</v>
      </c>
      <c r="H78" s="67">
        <v>0</v>
      </c>
      <c r="I78" s="5">
        <f t="shared" si="0"/>
        <v>12240.089999999998</v>
      </c>
    </row>
    <row r="79" spans="1:9" x14ac:dyDescent="0.3">
      <c r="A79" s="65">
        <v>44651</v>
      </c>
      <c r="B79" t="s">
        <v>87</v>
      </c>
      <c r="F79" s="66" t="s">
        <v>82</v>
      </c>
      <c r="G79" s="67">
        <v>2.71</v>
      </c>
      <c r="H79" s="67">
        <v>0</v>
      </c>
      <c r="I79" s="5">
        <f t="shared" ref="I79:I142" si="1">+I78+G79+H79</f>
        <v>12242.799999999997</v>
      </c>
    </row>
    <row r="80" spans="1:9" x14ac:dyDescent="0.3">
      <c r="A80" s="65">
        <v>44651</v>
      </c>
      <c r="B80" t="s">
        <v>140</v>
      </c>
      <c r="C80" s="77" t="s">
        <v>141</v>
      </c>
      <c r="D80" t="s">
        <v>142</v>
      </c>
      <c r="E80" t="s">
        <v>90</v>
      </c>
      <c r="F80" s="66" t="s">
        <v>70</v>
      </c>
      <c r="G80" s="67">
        <v>750</v>
      </c>
      <c r="H80" s="67">
        <v>0</v>
      </c>
      <c r="I80" s="5">
        <f t="shared" si="1"/>
        <v>12992.799999999997</v>
      </c>
    </row>
    <row r="81" spans="1:9" x14ac:dyDescent="0.3">
      <c r="A81" s="65">
        <v>44681</v>
      </c>
      <c r="B81" t="s">
        <v>87</v>
      </c>
      <c r="F81" s="66" t="s">
        <v>82</v>
      </c>
      <c r="G81" s="67">
        <v>2.71</v>
      </c>
      <c r="H81" s="67">
        <v>0</v>
      </c>
      <c r="I81" s="5">
        <f t="shared" si="1"/>
        <v>12995.509999999997</v>
      </c>
    </row>
    <row r="82" spans="1:9" x14ac:dyDescent="0.3">
      <c r="A82" s="65">
        <v>44711</v>
      </c>
      <c r="B82" t="s">
        <v>72</v>
      </c>
      <c r="C82" s="77" t="s">
        <v>137</v>
      </c>
      <c r="D82" t="s">
        <v>138</v>
      </c>
      <c r="E82" t="s">
        <v>69</v>
      </c>
      <c r="F82" s="66" t="s">
        <v>75</v>
      </c>
      <c r="G82" s="67">
        <v>0</v>
      </c>
      <c r="H82" s="67">
        <v>-750</v>
      </c>
      <c r="I82" s="5">
        <f t="shared" si="1"/>
        <v>12245.509999999997</v>
      </c>
    </row>
    <row r="83" spans="1:9" x14ac:dyDescent="0.3">
      <c r="A83" s="65">
        <v>44711</v>
      </c>
      <c r="B83" t="s">
        <v>87</v>
      </c>
      <c r="F83" s="66" t="s">
        <v>82</v>
      </c>
      <c r="G83" s="67">
        <v>2.5499999999999998</v>
      </c>
      <c r="H83" s="67">
        <v>0</v>
      </c>
      <c r="I83" s="5">
        <f t="shared" si="1"/>
        <v>12248.059999999996</v>
      </c>
    </row>
    <row r="84" spans="1:9" x14ac:dyDescent="0.3">
      <c r="A84" s="65">
        <v>44742</v>
      </c>
      <c r="B84" t="s">
        <v>87</v>
      </c>
      <c r="F84" s="66" t="s">
        <v>82</v>
      </c>
      <c r="G84" s="67">
        <v>2.5499999999999998</v>
      </c>
      <c r="H84" s="67">
        <v>0</v>
      </c>
      <c r="I84" s="5">
        <f t="shared" si="1"/>
        <v>12250.609999999995</v>
      </c>
    </row>
    <row r="85" spans="1:9" x14ac:dyDescent="0.3">
      <c r="A85" s="65">
        <v>44772</v>
      </c>
      <c r="B85" t="s">
        <v>87</v>
      </c>
      <c r="F85" s="66" t="s">
        <v>82</v>
      </c>
      <c r="G85" s="67">
        <v>2.4</v>
      </c>
      <c r="H85" s="67">
        <v>0</v>
      </c>
      <c r="I85" s="5">
        <f t="shared" si="1"/>
        <v>12253.009999999995</v>
      </c>
    </row>
    <row r="86" spans="1:9" x14ac:dyDescent="0.3">
      <c r="A86" s="65">
        <v>44772</v>
      </c>
      <c r="B86" t="s">
        <v>140</v>
      </c>
      <c r="C86" s="77" t="s">
        <v>141</v>
      </c>
      <c r="D86" t="s">
        <v>142</v>
      </c>
      <c r="E86" t="s">
        <v>90</v>
      </c>
      <c r="F86" s="66" t="s">
        <v>75</v>
      </c>
      <c r="G86" s="67">
        <v>0</v>
      </c>
      <c r="H86" s="67">
        <v>-750</v>
      </c>
      <c r="I86" s="5">
        <f t="shared" si="1"/>
        <v>11503.009999999995</v>
      </c>
    </row>
    <row r="87" spans="1:9" x14ac:dyDescent="0.3">
      <c r="A87" s="65">
        <v>44803</v>
      </c>
      <c r="B87" t="s">
        <v>87</v>
      </c>
      <c r="F87" s="66" t="s">
        <v>82</v>
      </c>
      <c r="G87" s="67">
        <v>2.08</v>
      </c>
      <c r="H87" s="67">
        <v>0</v>
      </c>
      <c r="I87" s="5">
        <f t="shared" si="1"/>
        <v>11505.089999999995</v>
      </c>
    </row>
    <row r="88" spans="1:9" x14ac:dyDescent="0.3">
      <c r="A88" s="65">
        <v>44803</v>
      </c>
      <c r="B88" t="s">
        <v>130</v>
      </c>
      <c r="C88" s="77" t="s">
        <v>131</v>
      </c>
      <c r="D88" t="s">
        <v>132</v>
      </c>
      <c r="E88" t="s">
        <v>98</v>
      </c>
      <c r="F88" s="66" t="s">
        <v>75</v>
      </c>
      <c r="G88" s="67">
        <v>0</v>
      </c>
      <c r="H88" s="67">
        <v>-1500</v>
      </c>
      <c r="I88" s="5">
        <f t="shared" si="1"/>
        <v>10005.089999999995</v>
      </c>
    </row>
    <row r="89" spans="1:9" x14ac:dyDescent="0.3">
      <c r="A89" s="65">
        <v>44805</v>
      </c>
      <c r="B89" t="s">
        <v>87</v>
      </c>
      <c r="F89" s="66" t="s">
        <v>82</v>
      </c>
      <c r="G89" s="67">
        <v>2.08</v>
      </c>
      <c r="H89" s="67">
        <v>0</v>
      </c>
      <c r="I89" s="5">
        <f t="shared" si="1"/>
        <v>10007.169999999995</v>
      </c>
    </row>
    <row r="90" spans="1:9" x14ac:dyDescent="0.3">
      <c r="A90" s="65">
        <v>44805</v>
      </c>
      <c r="B90" t="s">
        <v>143</v>
      </c>
      <c r="C90" s="80" t="s">
        <v>144</v>
      </c>
      <c r="D90" t="s">
        <v>145</v>
      </c>
      <c r="E90" t="s">
        <v>98</v>
      </c>
      <c r="F90" s="66" t="s">
        <v>70</v>
      </c>
      <c r="G90" s="67">
        <v>1500</v>
      </c>
      <c r="H90" s="67">
        <v>0</v>
      </c>
      <c r="I90" s="5">
        <f t="shared" si="1"/>
        <v>11507.169999999995</v>
      </c>
    </row>
    <row r="91" spans="1:9" x14ac:dyDescent="0.3">
      <c r="A91" s="65">
        <v>44835</v>
      </c>
      <c r="B91" t="s">
        <v>87</v>
      </c>
      <c r="F91" s="66" t="s">
        <v>82</v>
      </c>
      <c r="G91" s="67">
        <v>2.4</v>
      </c>
      <c r="H91" s="67">
        <v>0</v>
      </c>
      <c r="I91" s="5">
        <f t="shared" si="1"/>
        <v>11509.569999999994</v>
      </c>
    </row>
    <row r="92" spans="1:9" x14ac:dyDescent="0.3">
      <c r="A92" s="65">
        <v>44866</v>
      </c>
      <c r="B92" t="s">
        <v>87</v>
      </c>
      <c r="F92" s="66" t="s">
        <v>82</v>
      </c>
      <c r="G92" s="67">
        <v>2.2400000000000002</v>
      </c>
      <c r="H92" s="67">
        <v>0</v>
      </c>
      <c r="I92" s="5">
        <f t="shared" si="1"/>
        <v>11511.809999999994</v>
      </c>
    </row>
    <row r="93" spans="1:9" x14ac:dyDescent="0.3">
      <c r="A93" s="65">
        <v>44866</v>
      </c>
      <c r="B93" t="s">
        <v>146</v>
      </c>
      <c r="D93" t="s">
        <v>147</v>
      </c>
      <c r="E93" t="s">
        <v>148</v>
      </c>
      <c r="F93" s="66" t="s">
        <v>70</v>
      </c>
      <c r="G93" s="67">
        <v>750</v>
      </c>
      <c r="H93" s="67">
        <v>0</v>
      </c>
      <c r="I93" s="5">
        <f t="shared" si="1"/>
        <v>12261.809999999994</v>
      </c>
    </row>
    <row r="94" spans="1:9" x14ac:dyDescent="0.3">
      <c r="A94" s="65">
        <v>44866</v>
      </c>
      <c r="B94" t="s">
        <v>133</v>
      </c>
      <c r="C94" s="77" t="s">
        <v>134</v>
      </c>
      <c r="D94" t="s">
        <v>135</v>
      </c>
      <c r="E94" t="s">
        <v>98</v>
      </c>
      <c r="F94" s="66" t="s">
        <v>75</v>
      </c>
      <c r="G94" s="67">
        <v>0</v>
      </c>
      <c r="H94" s="67">
        <v>-1500</v>
      </c>
      <c r="I94" s="5">
        <f t="shared" si="1"/>
        <v>10761.809999999994</v>
      </c>
    </row>
    <row r="95" spans="1:9" x14ac:dyDescent="0.3">
      <c r="A95" s="65">
        <v>44926</v>
      </c>
      <c r="B95" t="s">
        <v>146</v>
      </c>
      <c r="D95" t="s">
        <v>147</v>
      </c>
      <c r="E95" t="s">
        <v>148</v>
      </c>
      <c r="F95" s="66" t="s">
        <v>75</v>
      </c>
      <c r="G95" s="67">
        <v>0</v>
      </c>
      <c r="H95" s="67">
        <v>-750</v>
      </c>
      <c r="I95" s="5">
        <f t="shared" si="1"/>
        <v>10011.809999999994</v>
      </c>
    </row>
    <row r="96" spans="1:9" x14ac:dyDescent="0.3">
      <c r="A96" s="65">
        <v>44926</v>
      </c>
      <c r="B96" t="s">
        <v>149</v>
      </c>
      <c r="C96" s="80" t="s">
        <v>150</v>
      </c>
      <c r="D96" t="s">
        <v>151</v>
      </c>
      <c r="E96" t="s">
        <v>152</v>
      </c>
      <c r="F96" s="66" t="s">
        <v>70</v>
      </c>
      <c r="G96" s="67">
        <v>750</v>
      </c>
      <c r="H96" s="67">
        <v>0</v>
      </c>
      <c r="I96" s="5">
        <f t="shared" si="1"/>
        <v>10761.809999999994</v>
      </c>
    </row>
    <row r="97" spans="1:9" x14ac:dyDescent="0.3">
      <c r="A97" s="65">
        <v>44926</v>
      </c>
      <c r="B97" t="s">
        <v>153</v>
      </c>
      <c r="C97" s="80" t="s">
        <v>154</v>
      </c>
      <c r="D97" t="s">
        <v>155</v>
      </c>
      <c r="E97" t="s">
        <v>156</v>
      </c>
      <c r="F97" s="66" t="s">
        <v>70</v>
      </c>
      <c r="G97" s="67">
        <v>1500</v>
      </c>
      <c r="H97" s="67">
        <v>0</v>
      </c>
      <c r="I97" s="5">
        <f t="shared" si="1"/>
        <v>12261.809999999994</v>
      </c>
    </row>
    <row r="98" spans="1:9" x14ac:dyDescent="0.3">
      <c r="A98" s="65">
        <v>44926</v>
      </c>
      <c r="B98" t="s">
        <v>87</v>
      </c>
      <c r="F98" s="66" t="s">
        <v>82</v>
      </c>
      <c r="G98" s="67">
        <v>2.5499999999999998</v>
      </c>
      <c r="H98" s="67">
        <v>0</v>
      </c>
      <c r="I98" s="5">
        <f t="shared" si="1"/>
        <v>12264.359999999993</v>
      </c>
    </row>
    <row r="99" spans="1:9" x14ac:dyDescent="0.3">
      <c r="A99" s="65">
        <v>44957</v>
      </c>
      <c r="B99" t="s">
        <v>87</v>
      </c>
      <c r="F99" s="66" t="s">
        <v>82</v>
      </c>
      <c r="G99" s="67">
        <v>2.56</v>
      </c>
      <c r="H99" s="67">
        <v>0</v>
      </c>
      <c r="I99" s="5">
        <f t="shared" si="1"/>
        <v>12266.919999999993</v>
      </c>
    </row>
    <row r="100" spans="1:9" x14ac:dyDescent="0.3">
      <c r="A100" s="65">
        <v>44985</v>
      </c>
      <c r="B100" t="s">
        <v>87</v>
      </c>
      <c r="F100" s="66" t="s">
        <v>82</v>
      </c>
      <c r="G100" s="67">
        <v>2.56</v>
      </c>
      <c r="H100" s="67">
        <v>0</v>
      </c>
      <c r="I100" s="5">
        <f t="shared" si="1"/>
        <v>12269.479999999992</v>
      </c>
    </row>
    <row r="101" spans="1:9" x14ac:dyDescent="0.3">
      <c r="A101" s="65">
        <v>45016</v>
      </c>
      <c r="B101" t="s">
        <v>87</v>
      </c>
      <c r="F101" s="66" t="s">
        <v>82</v>
      </c>
      <c r="G101" s="67">
        <v>2.09</v>
      </c>
      <c r="H101" s="67">
        <v>0</v>
      </c>
      <c r="I101" s="5">
        <f t="shared" si="1"/>
        <v>12271.569999999992</v>
      </c>
    </row>
    <row r="102" spans="1:9" x14ac:dyDescent="0.3">
      <c r="A102" s="65">
        <v>45016</v>
      </c>
      <c r="B102" t="s">
        <v>153</v>
      </c>
      <c r="C102" s="80" t="s">
        <v>154</v>
      </c>
      <c r="D102" t="s">
        <v>155</v>
      </c>
      <c r="E102" t="s">
        <v>156</v>
      </c>
      <c r="F102" s="66" t="s">
        <v>75</v>
      </c>
      <c r="G102" s="67">
        <v>0</v>
      </c>
      <c r="H102" s="67">
        <v>-1500</v>
      </c>
      <c r="I102" s="5">
        <f t="shared" si="1"/>
        <v>10771.569999999992</v>
      </c>
    </row>
    <row r="103" spans="1:9" x14ac:dyDescent="0.3">
      <c r="A103" s="65">
        <v>45016</v>
      </c>
      <c r="B103" t="s">
        <v>127</v>
      </c>
      <c r="C103" s="77" t="s">
        <v>128</v>
      </c>
      <c r="D103" t="s">
        <v>129</v>
      </c>
      <c r="E103" t="s">
        <v>69</v>
      </c>
      <c r="F103" s="66" t="s">
        <v>75</v>
      </c>
      <c r="G103" s="67">
        <v>0</v>
      </c>
      <c r="H103" s="67">
        <v>-750</v>
      </c>
      <c r="I103" s="5">
        <f t="shared" si="1"/>
        <v>10021.569999999992</v>
      </c>
    </row>
    <row r="104" spans="1:9" x14ac:dyDescent="0.3">
      <c r="A104" s="65">
        <v>45046</v>
      </c>
      <c r="B104" t="s">
        <v>87</v>
      </c>
      <c r="F104" s="66" t="s">
        <v>82</v>
      </c>
      <c r="G104" s="67">
        <v>2.2400000000000002</v>
      </c>
      <c r="H104" s="67">
        <v>0</v>
      </c>
      <c r="I104" s="5">
        <f t="shared" si="1"/>
        <v>10023.809999999992</v>
      </c>
    </row>
    <row r="105" spans="1:9" x14ac:dyDescent="0.3">
      <c r="A105" s="65">
        <v>45046</v>
      </c>
      <c r="B105" t="s">
        <v>157</v>
      </c>
      <c r="C105" s="80" t="s">
        <v>158</v>
      </c>
      <c r="D105" t="s">
        <v>159</v>
      </c>
      <c r="E105" t="s">
        <v>160</v>
      </c>
      <c r="F105" s="66" t="s">
        <v>70</v>
      </c>
      <c r="G105" s="67">
        <v>750</v>
      </c>
      <c r="H105" s="67">
        <v>0</v>
      </c>
      <c r="I105" s="5">
        <f t="shared" si="1"/>
        <v>10773.809999999992</v>
      </c>
    </row>
    <row r="106" spans="1:9" x14ac:dyDescent="0.3">
      <c r="A106" s="65">
        <v>45077</v>
      </c>
      <c r="B106" t="s">
        <v>87</v>
      </c>
      <c r="F106" s="66" t="s">
        <v>82</v>
      </c>
      <c r="G106" s="67">
        <v>2.2400000000000002</v>
      </c>
      <c r="H106" s="67">
        <v>0</v>
      </c>
      <c r="I106" s="5">
        <f t="shared" si="1"/>
        <v>10776.049999999992</v>
      </c>
    </row>
    <row r="107" spans="1:9" x14ac:dyDescent="0.3">
      <c r="A107" s="65">
        <v>45107</v>
      </c>
      <c r="B107" t="s">
        <v>87</v>
      </c>
      <c r="F107" s="66" t="s">
        <v>82</v>
      </c>
      <c r="G107" s="67">
        <v>2.56</v>
      </c>
      <c r="H107" s="67">
        <v>0</v>
      </c>
      <c r="I107" s="5">
        <f t="shared" si="1"/>
        <v>10778.609999999991</v>
      </c>
    </row>
    <row r="108" spans="1:9" x14ac:dyDescent="0.3">
      <c r="A108" s="65">
        <v>45107</v>
      </c>
      <c r="B108" t="s">
        <v>161</v>
      </c>
      <c r="C108" s="80" t="s">
        <v>162</v>
      </c>
      <c r="D108" t="s">
        <v>163</v>
      </c>
      <c r="E108" t="s">
        <v>98</v>
      </c>
      <c r="F108" s="66" t="s">
        <v>70</v>
      </c>
      <c r="G108" s="67">
        <v>1500</v>
      </c>
      <c r="H108" s="67">
        <v>0</v>
      </c>
      <c r="I108" s="5">
        <f t="shared" si="1"/>
        <v>12278.609999999991</v>
      </c>
    </row>
    <row r="109" spans="1:9" x14ac:dyDescent="0.3">
      <c r="A109" s="65">
        <v>45107</v>
      </c>
      <c r="B109" t="s">
        <v>164</v>
      </c>
      <c r="C109" s="80" t="s">
        <v>165</v>
      </c>
      <c r="D109" t="s">
        <v>166</v>
      </c>
      <c r="E109" t="s">
        <v>167</v>
      </c>
      <c r="F109" s="66" t="s">
        <v>70</v>
      </c>
      <c r="G109" s="67">
        <v>750</v>
      </c>
      <c r="H109" s="67">
        <v>0</v>
      </c>
      <c r="I109" s="5">
        <f t="shared" si="1"/>
        <v>13028.609999999991</v>
      </c>
    </row>
    <row r="110" spans="1:9" x14ac:dyDescent="0.3">
      <c r="A110" s="65">
        <v>45107</v>
      </c>
      <c r="B110" t="s">
        <v>164</v>
      </c>
      <c r="C110" s="80" t="s">
        <v>165</v>
      </c>
      <c r="D110" t="s">
        <v>166</v>
      </c>
      <c r="E110" t="s">
        <v>167</v>
      </c>
      <c r="F110" s="66" t="s">
        <v>75</v>
      </c>
      <c r="G110" s="67">
        <v>0</v>
      </c>
      <c r="H110" s="67">
        <v>-750</v>
      </c>
      <c r="I110" s="5">
        <f t="shared" si="1"/>
        <v>12278.609999999991</v>
      </c>
    </row>
    <row r="111" spans="1:9" x14ac:dyDescent="0.3">
      <c r="A111" s="65">
        <v>45138</v>
      </c>
      <c r="B111" t="s">
        <v>87</v>
      </c>
      <c r="F111" s="66" t="s">
        <v>82</v>
      </c>
      <c r="G111" s="67">
        <v>2.56</v>
      </c>
      <c r="H111" s="67">
        <v>0</v>
      </c>
      <c r="I111" s="5">
        <f t="shared" si="1"/>
        <v>12281.169999999991</v>
      </c>
    </row>
    <row r="112" spans="1:9" x14ac:dyDescent="0.3">
      <c r="A112" s="65">
        <v>45168</v>
      </c>
      <c r="B112" t="s">
        <v>87</v>
      </c>
      <c r="F112" s="66" t="s">
        <v>82</v>
      </c>
      <c r="G112" s="67">
        <v>2.4</v>
      </c>
      <c r="H112" s="67">
        <v>0</v>
      </c>
      <c r="I112" s="5">
        <f t="shared" si="1"/>
        <v>12283.569999999991</v>
      </c>
    </row>
    <row r="113" spans="1:9" x14ac:dyDescent="0.3">
      <c r="A113" s="65">
        <v>45168</v>
      </c>
      <c r="B113" t="s">
        <v>143</v>
      </c>
      <c r="C113" s="80" t="s">
        <v>144</v>
      </c>
      <c r="D113" t="s">
        <v>145</v>
      </c>
      <c r="E113" t="s">
        <v>98</v>
      </c>
      <c r="F113" s="66" t="s">
        <v>75</v>
      </c>
      <c r="G113" s="67">
        <v>0</v>
      </c>
      <c r="H113" s="67">
        <v>-1500</v>
      </c>
      <c r="I113" s="5">
        <f t="shared" si="1"/>
        <v>10783.569999999991</v>
      </c>
    </row>
    <row r="114" spans="1:9" x14ac:dyDescent="0.3">
      <c r="A114" s="65">
        <v>45168</v>
      </c>
      <c r="B114" t="s">
        <v>168</v>
      </c>
      <c r="C114" s="80" t="s">
        <v>169</v>
      </c>
      <c r="D114" t="s">
        <v>170</v>
      </c>
      <c r="E114" t="s">
        <v>171</v>
      </c>
      <c r="F114" s="66" t="s">
        <v>70</v>
      </c>
      <c r="G114" s="67">
        <v>750</v>
      </c>
      <c r="H114" s="67">
        <v>0</v>
      </c>
      <c r="I114" s="5">
        <f t="shared" si="1"/>
        <v>11533.569999999991</v>
      </c>
    </row>
    <row r="115" spans="1:9" x14ac:dyDescent="0.3">
      <c r="A115" s="65">
        <v>45199</v>
      </c>
      <c r="B115" t="s">
        <v>87</v>
      </c>
      <c r="F115" s="66" t="s">
        <v>82</v>
      </c>
      <c r="G115" s="67">
        <v>2.72</v>
      </c>
      <c r="H115" s="67">
        <v>0</v>
      </c>
      <c r="I115" s="5">
        <f t="shared" si="1"/>
        <v>11536.28999999999</v>
      </c>
    </row>
    <row r="116" spans="1:9" x14ac:dyDescent="0.3">
      <c r="A116" s="65">
        <v>45199</v>
      </c>
      <c r="B116" t="s">
        <v>172</v>
      </c>
      <c r="C116" s="80" t="s">
        <v>173</v>
      </c>
      <c r="D116" t="s">
        <v>174</v>
      </c>
      <c r="E116" t="s">
        <v>98</v>
      </c>
      <c r="F116" s="66" t="s">
        <v>70</v>
      </c>
      <c r="G116" s="67">
        <v>1500</v>
      </c>
      <c r="H116" s="67">
        <v>0</v>
      </c>
      <c r="I116" s="5">
        <f t="shared" si="1"/>
        <v>13036.28999999999</v>
      </c>
    </row>
    <row r="117" spans="1:9" x14ac:dyDescent="0.3">
      <c r="A117" s="65">
        <v>45229</v>
      </c>
      <c r="B117" t="s">
        <v>87</v>
      </c>
      <c r="F117" s="66" t="s">
        <v>82</v>
      </c>
      <c r="G117" s="67">
        <v>2.72</v>
      </c>
      <c r="H117" s="67">
        <v>0</v>
      </c>
      <c r="I117" s="5">
        <f t="shared" si="1"/>
        <v>13039.009999999989</v>
      </c>
    </row>
    <row r="118" spans="1:9" x14ac:dyDescent="0.3">
      <c r="A118" s="65">
        <v>45260</v>
      </c>
      <c r="B118" t="s">
        <v>87</v>
      </c>
      <c r="F118" s="66" t="s">
        <v>82</v>
      </c>
      <c r="G118" s="67">
        <v>2.72</v>
      </c>
      <c r="H118" s="67">
        <v>0</v>
      </c>
      <c r="I118" s="5">
        <f t="shared" si="1"/>
        <v>13041.729999999989</v>
      </c>
    </row>
    <row r="119" spans="1:9" x14ac:dyDescent="0.3">
      <c r="A119" s="65">
        <v>45291</v>
      </c>
      <c r="B119" t="s">
        <v>87</v>
      </c>
      <c r="F119" s="66" t="s">
        <v>82</v>
      </c>
      <c r="G119" s="67">
        <v>2.25</v>
      </c>
      <c r="H119" s="67">
        <v>0</v>
      </c>
      <c r="I119" s="5">
        <f t="shared" si="1"/>
        <v>13043.979999999989</v>
      </c>
    </row>
    <row r="120" spans="1:9" x14ac:dyDescent="0.3">
      <c r="A120" s="65">
        <v>45291</v>
      </c>
      <c r="B120" t="s">
        <v>161</v>
      </c>
      <c r="C120" s="80" t="s">
        <v>162</v>
      </c>
      <c r="D120" t="s">
        <v>163</v>
      </c>
      <c r="E120" t="s">
        <v>98</v>
      </c>
      <c r="F120" s="66" t="s">
        <v>75</v>
      </c>
      <c r="G120" s="67">
        <v>0</v>
      </c>
      <c r="H120" s="67">
        <v>-1500</v>
      </c>
      <c r="I120" s="5">
        <f t="shared" si="1"/>
        <v>11543.979999999989</v>
      </c>
    </row>
    <row r="121" spans="1:9" x14ac:dyDescent="0.3">
      <c r="A121" s="65">
        <v>45291</v>
      </c>
      <c r="B121" t="s">
        <v>149</v>
      </c>
      <c r="C121" s="80" t="s">
        <v>150</v>
      </c>
      <c r="D121" t="s">
        <v>151</v>
      </c>
      <c r="E121" t="s">
        <v>152</v>
      </c>
      <c r="F121" s="66" t="s">
        <v>75</v>
      </c>
      <c r="G121" s="67">
        <v>0</v>
      </c>
      <c r="H121" s="67">
        <v>-750</v>
      </c>
      <c r="I121" s="5">
        <f t="shared" si="1"/>
        <v>10793.979999999989</v>
      </c>
    </row>
    <row r="122" spans="1:9" x14ac:dyDescent="0.3">
      <c r="A122" s="65">
        <v>45322</v>
      </c>
      <c r="B122" t="s">
        <v>87</v>
      </c>
      <c r="F122" s="66" t="s">
        <v>82</v>
      </c>
      <c r="G122" s="67">
        <v>0</v>
      </c>
      <c r="H122" s="67">
        <v>0</v>
      </c>
      <c r="I122" s="5">
        <f t="shared" si="1"/>
        <v>10793.979999999989</v>
      </c>
    </row>
    <row r="123" spans="1:9" x14ac:dyDescent="0.3">
      <c r="A123" s="65">
        <v>45350</v>
      </c>
      <c r="B123" t="s">
        <v>87</v>
      </c>
      <c r="F123" s="66" t="s">
        <v>82</v>
      </c>
      <c r="G123" s="67">
        <v>0</v>
      </c>
      <c r="H123" s="67">
        <v>0</v>
      </c>
      <c r="I123" s="5">
        <f t="shared" si="1"/>
        <v>10793.979999999989</v>
      </c>
    </row>
    <row r="124" spans="1:9" x14ac:dyDescent="0.3">
      <c r="A124" s="65">
        <v>45382</v>
      </c>
      <c r="B124" t="s">
        <v>87</v>
      </c>
      <c r="F124" s="66" t="s">
        <v>82</v>
      </c>
      <c r="G124" s="67">
        <v>0</v>
      </c>
      <c r="H124" s="67">
        <v>0</v>
      </c>
      <c r="I124" s="5">
        <f t="shared" si="1"/>
        <v>10793.979999999989</v>
      </c>
    </row>
    <row r="125" spans="1:9" x14ac:dyDescent="0.3">
      <c r="A125" s="65">
        <v>45382</v>
      </c>
      <c r="B125" t="s">
        <v>121</v>
      </c>
      <c r="C125" s="77" t="s">
        <v>122</v>
      </c>
      <c r="D125" t="s">
        <v>123</v>
      </c>
      <c r="E125" t="s">
        <v>106</v>
      </c>
      <c r="F125" s="66" t="s">
        <v>75</v>
      </c>
      <c r="G125" s="67">
        <v>0</v>
      </c>
      <c r="H125" s="67">
        <v>-1500</v>
      </c>
      <c r="I125" s="5">
        <f t="shared" si="1"/>
        <v>9293.9799999999886</v>
      </c>
    </row>
    <row r="126" spans="1:9" x14ac:dyDescent="0.3">
      <c r="A126" s="65">
        <v>45412</v>
      </c>
      <c r="B126" t="s">
        <v>87</v>
      </c>
      <c r="F126" s="66" t="s">
        <v>82</v>
      </c>
      <c r="G126" s="67">
        <v>0</v>
      </c>
      <c r="H126" s="67">
        <v>0</v>
      </c>
      <c r="I126" s="5">
        <f t="shared" si="1"/>
        <v>9293.9799999999886</v>
      </c>
    </row>
    <row r="127" spans="1:9" x14ac:dyDescent="0.3">
      <c r="A127" s="65">
        <v>45442</v>
      </c>
      <c r="B127" t="s">
        <v>175</v>
      </c>
      <c r="F127" s="81" t="s">
        <v>71</v>
      </c>
      <c r="G127" s="67">
        <v>0</v>
      </c>
      <c r="H127" s="67">
        <v>0</v>
      </c>
      <c r="I127" s="5">
        <f t="shared" si="1"/>
        <v>9293.9799999999886</v>
      </c>
    </row>
    <row r="128" spans="1:9" x14ac:dyDescent="0.3">
      <c r="A128" s="65">
        <v>45473</v>
      </c>
      <c r="B128" t="s">
        <v>175</v>
      </c>
      <c r="F128" s="66" t="s">
        <v>71</v>
      </c>
      <c r="G128" s="67">
        <v>0</v>
      </c>
      <c r="H128" s="67">
        <v>0</v>
      </c>
      <c r="I128" s="5">
        <f t="shared" si="1"/>
        <v>9293.9799999999886</v>
      </c>
    </row>
    <row r="129" spans="1:13" x14ac:dyDescent="0.3">
      <c r="A129" s="65">
        <v>45504</v>
      </c>
      <c r="B129" t="s">
        <v>87</v>
      </c>
      <c r="F129" s="66" t="s">
        <v>82</v>
      </c>
      <c r="G129" s="67">
        <v>10.06</v>
      </c>
      <c r="H129" s="67">
        <v>0</v>
      </c>
      <c r="I129" s="5">
        <f t="shared" si="1"/>
        <v>9304.0399999999881</v>
      </c>
    </row>
    <row r="130" spans="1:13" x14ac:dyDescent="0.3">
      <c r="A130" s="65">
        <v>45534</v>
      </c>
      <c r="B130" t="s">
        <v>176</v>
      </c>
      <c r="C130" s="80" t="s">
        <v>177</v>
      </c>
      <c r="D130" t="s">
        <v>178</v>
      </c>
      <c r="E130" t="s">
        <v>156</v>
      </c>
      <c r="F130" s="66" t="s">
        <v>70</v>
      </c>
      <c r="G130" s="82">
        <v>750</v>
      </c>
      <c r="H130" s="82">
        <v>0</v>
      </c>
      <c r="I130" s="5">
        <f t="shared" si="1"/>
        <v>10054.039999999988</v>
      </c>
    </row>
    <row r="131" spans="1:13" s="114" customFormat="1" x14ac:dyDescent="0.3">
      <c r="A131" s="113">
        <v>45534</v>
      </c>
      <c r="B131" s="114" t="s">
        <v>179</v>
      </c>
      <c r="C131" s="115" t="s">
        <v>180</v>
      </c>
      <c r="D131" s="114" t="s">
        <v>181</v>
      </c>
      <c r="E131" s="114" t="s">
        <v>98</v>
      </c>
      <c r="F131" s="116" t="s">
        <v>70</v>
      </c>
      <c r="G131" s="117">
        <v>1500</v>
      </c>
      <c r="H131" s="117">
        <v>0</v>
      </c>
      <c r="I131" s="118">
        <f t="shared" si="1"/>
        <v>11554.039999999988</v>
      </c>
      <c r="M131" s="118"/>
    </row>
    <row r="132" spans="1:13" x14ac:dyDescent="0.3">
      <c r="A132" s="65">
        <v>45534</v>
      </c>
      <c r="B132" t="s">
        <v>157</v>
      </c>
      <c r="C132" s="80" t="s">
        <v>158</v>
      </c>
      <c r="D132" t="s">
        <v>159</v>
      </c>
      <c r="E132" t="s">
        <v>160</v>
      </c>
      <c r="F132" s="66" t="s">
        <v>75</v>
      </c>
      <c r="G132" s="82">
        <v>0</v>
      </c>
      <c r="H132" s="82">
        <v>-750</v>
      </c>
      <c r="I132" s="5">
        <f t="shared" si="1"/>
        <v>10804.039999999988</v>
      </c>
    </row>
    <row r="133" spans="1:13" x14ac:dyDescent="0.3">
      <c r="A133" s="65">
        <v>45534</v>
      </c>
      <c r="B133" t="s">
        <v>87</v>
      </c>
      <c r="F133" s="66" t="s">
        <v>82</v>
      </c>
      <c r="G133" s="67">
        <v>8.67</v>
      </c>
      <c r="H133" s="67">
        <v>0</v>
      </c>
      <c r="I133" s="5">
        <f t="shared" si="1"/>
        <v>10812.709999999988</v>
      </c>
    </row>
    <row r="134" spans="1:13" x14ac:dyDescent="0.3">
      <c r="A134" s="65">
        <v>45565</v>
      </c>
      <c r="B134" t="s">
        <v>182</v>
      </c>
      <c r="F134" s="66" t="s">
        <v>82</v>
      </c>
      <c r="G134" s="67">
        <v>8.7100000000000009</v>
      </c>
      <c r="H134" s="67">
        <v>0</v>
      </c>
      <c r="I134" s="5">
        <f t="shared" si="1"/>
        <v>10821.419999999987</v>
      </c>
    </row>
    <row r="135" spans="1:13" x14ac:dyDescent="0.3">
      <c r="A135" s="65">
        <v>45565</v>
      </c>
      <c r="B135" t="s">
        <v>172</v>
      </c>
      <c r="C135" s="80" t="s">
        <v>173</v>
      </c>
      <c r="D135" t="s">
        <v>174</v>
      </c>
      <c r="E135" t="s">
        <v>98</v>
      </c>
      <c r="F135" s="66" t="s">
        <v>75</v>
      </c>
      <c r="G135" s="67">
        <v>0</v>
      </c>
      <c r="H135" s="67">
        <v>-1500</v>
      </c>
      <c r="I135" s="5">
        <f t="shared" si="1"/>
        <v>9321.4199999999873</v>
      </c>
    </row>
    <row r="136" spans="1:13" x14ac:dyDescent="0.3">
      <c r="A136" s="65">
        <v>45596</v>
      </c>
      <c r="B136" t="s">
        <v>87</v>
      </c>
      <c r="F136" s="66" t="s">
        <v>82</v>
      </c>
      <c r="G136" s="67">
        <v>9.08</v>
      </c>
      <c r="H136" s="67">
        <v>0</v>
      </c>
      <c r="I136" s="5">
        <f t="shared" si="1"/>
        <v>9330.4999999999873</v>
      </c>
    </row>
    <row r="137" spans="1:13" x14ac:dyDescent="0.3">
      <c r="A137" s="65">
        <v>45582</v>
      </c>
      <c r="B137" t="s">
        <v>176</v>
      </c>
      <c r="C137" s="80" t="s">
        <v>177</v>
      </c>
      <c r="D137" t="s">
        <v>178</v>
      </c>
      <c r="E137" t="s">
        <v>156</v>
      </c>
      <c r="F137" s="66" t="s">
        <v>75</v>
      </c>
      <c r="G137" s="67">
        <v>0</v>
      </c>
      <c r="H137" s="67">
        <v>-750</v>
      </c>
      <c r="I137" s="5">
        <f t="shared" si="1"/>
        <v>8580.4999999999873</v>
      </c>
    </row>
    <row r="138" spans="1:13" x14ac:dyDescent="0.3">
      <c r="A138" s="65">
        <v>45626</v>
      </c>
      <c r="B138" t="s">
        <v>87</v>
      </c>
      <c r="F138" s="66" t="s">
        <v>82</v>
      </c>
      <c r="G138" s="67">
        <v>7.22</v>
      </c>
      <c r="H138" s="67">
        <v>0</v>
      </c>
      <c r="I138" s="5">
        <f t="shared" si="1"/>
        <v>8587.7199999999866</v>
      </c>
    </row>
    <row r="139" spans="1:13" x14ac:dyDescent="0.3">
      <c r="A139" s="65">
        <v>45657</v>
      </c>
      <c r="B139" t="s">
        <v>87</v>
      </c>
      <c r="F139" s="66" t="s">
        <v>82</v>
      </c>
      <c r="G139" s="67">
        <v>6.61</v>
      </c>
      <c r="H139" s="67">
        <v>0</v>
      </c>
      <c r="I139" s="5">
        <f t="shared" si="1"/>
        <v>8594.3299999999872</v>
      </c>
    </row>
    <row r="140" spans="1:13" x14ac:dyDescent="0.3">
      <c r="A140" s="65">
        <v>45657</v>
      </c>
      <c r="B140" t="s">
        <v>168</v>
      </c>
      <c r="C140" s="80" t="s">
        <v>169</v>
      </c>
      <c r="D140" t="s">
        <v>170</v>
      </c>
      <c r="E140" t="s">
        <v>171</v>
      </c>
      <c r="F140" s="66" t="s">
        <v>75</v>
      </c>
      <c r="G140" s="67">
        <v>0</v>
      </c>
      <c r="H140" s="67">
        <v>-750</v>
      </c>
      <c r="I140" s="5">
        <f t="shared" si="1"/>
        <v>7844.3299999999872</v>
      </c>
    </row>
    <row r="141" spans="1:13" x14ac:dyDescent="0.3">
      <c r="A141" s="65">
        <v>45688</v>
      </c>
      <c r="B141" t="s">
        <v>87</v>
      </c>
      <c r="F141" s="66" t="s">
        <v>82</v>
      </c>
      <c r="G141" s="67">
        <v>5.33</v>
      </c>
      <c r="H141" s="67">
        <v>0</v>
      </c>
      <c r="I141" s="5">
        <f t="shared" si="1"/>
        <v>7849.6599999999871</v>
      </c>
    </row>
    <row r="142" spans="1:13" x14ac:dyDescent="0.3">
      <c r="A142" s="65">
        <v>45716</v>
      </c>
      <c r="B142" t="s">
        <v>87</v>
      </c>
      <c r="F142" s="66" t="s">
        <v>82</v>
      </c>
      <c r="G142" s="67">
        <v>3.14</v>
      </c>
      <c r="H142" s="67">
        <v>0</v>
      </c>
      <c r="I142" s="5">
        <f t="shared" si="1"/>
        <v>7852.7999999999874</v>
      </c>
    </row>
    <row r="143" spans="1:13" x14ac:dyDescent="0.3">
      <c r="A143" s="65">
        <v>45747</v>
      </c>
      <c r="B143" t="s">
        <v>179</v>
      </c>
      <c r="C143" s="111" t="s">
        <v>180</v>
      </c>
      <c r="D143" s="112" t="s">
        <v>181</v>
      </c>
      <c r="E143" s="112" t="s">
        <v>98</v>
      </c>
      <c r="F143" s="66" t="s">
        <v>75</v>
      </c>
      <c r="G143" s="67">
        <v>0</v>
      </c>
      <c r="H143" s="67">
        <v>-1500</v>
      </c>
      <c r="I143" s="5">
        <f t="shared" ref="I143:I144" si="2">+I142+G143+H143</f>
        <v>6352.7999999999874</v>
      </c>
    </row>
    <row r="144" spans="1:13" x14ac:dyDescent="0.3">
      <c r="A144" s="65">
        <v>45747</v>
      </c>
      <c r="B144" t="s">
        <v>87</v>
      </c>
      <c r="F144" s="66" t="s">
        <v>82</v>
      </c>
      <c r="G144" s="67">
        <v>3.34</v>
      </c>
      <c r="H144" s="67">
        <v>0</v>
      </c>
      <c r="I144" s="5">
        <f t="shared" si="2"/>
        <v>6356.1399999999876</v>
      </c>
    </row>
    <row r="145" spans="1:9" x14ac:dyDescent="0.3">
      <c r="A145" s="65">
        <v>45777</v>
      </c>
      <c r="B145" t="s">
        <v>87</v>
      </c>
      <c r="F145" s="66" t="s">
        <v>82</v>
      </c>
      <c r="G145" s="67">
        <v>3.27</v>
      </c>
      <c r="H145" s="67">
        <v>0</v>
      </c>
      <c r="I145" s="5">
        <f t="shared" ref="I145:I146" si="3">+I144+G145+H145</f>
        <v>6359.409999999988</v>
      </c>
    </row>
    <row r="146" spans="1:9" x14ac:dyDescent="0.3">
      <c r="A146" s="65">
        <v>45802</v>
      </c>
      <c r="B146" t="s">
        <v>121</v>
      </c>
      <c r="C146" s="77" t="s">
        <v>122</v>
      </c>
      <c r="D146" t="s">
        <v>123</v>
      </c>
      <c r="E146" t="s">
        <v>102</v>
      </c>
      <c r="F146" s="66" t="s">
        <v>70</v>
      </c>
      <c r="G146" s="67">
        <v>750</v>
      </c>
      <c r="H146" s="67">
        <v>0</v>
      </c>
      <c r="I146" s="5">
        <f t="shared" si="3"/>
        <v>7109.409999999988</v>
      </c>
    </row>
    <row r="147" spans="1:9" x14ac:dyDescent="0.3">
      <c r="A147" s="65">
        <v>45838</v>
      </c>
      <c r="B147" t="s">
        <v>87</v>
      </c>
      <c r="F147" s="66" t="s">
        <v>82</v>
      </c>
      <c r="G147" s="67">
        <v>6.17</v>
      </c>
      <c r="H147" s="67">
        <v>0</v>
      </c>
      <c r="I147" s="5">
        <f t="shared" ref="I147" si="4">+I146+G147+H147</f>
        <v>7115.5799999999881</v>
      </c>
    </row>
    <row r="148" spans="1:9" x14ac:dyDescent="0.3">
      <c r="A148" s="65">
        <v>45869</v>
      </c>
      <c r="B148" t="s">
        <v>87</v>
      </c>
      <c r="C148" s="77"/>
      <c r="F148" s="66" t="s">
        <v>82</v>
      </c>
      <c r="G148" s="67">
        <v>3.02</v>
      </c>
      <c r="H148" s="67">
        <v>0</v>
      </c>
      <c r="I148" s="5">
        <f t="shared" ref="I148:I152" si="5">+I147+G148+H148</f>
        <v>7118.5999999999885</v>
      </c>
    </row>
    <row r="149" spans="1:9" x14ac:dyDescent="0.3">
      <c r="A149" s="65">
        <v>45900</v>
      </c>
      <c r="B149" t="s">
        <v>87</v>
      </c>
      <c r="F149" s="66" t="s">
        <v>82</v>
      </c>
      <c r="G149" s="67">
        <v>3.02</v>
      </c>
      <c r="H149" s="67">
        <v>0</v>
      </c>
      <c r="I149" s="5">
        <f t="shared" si="5"/>
        <v>7121.619999999989</v>
      </c>
    </row>
    <row r="150" spans="1:9" x14ac:dyDescent="0.3">
      <c r="A150" s="65">
        <v>45929</v>
      </c>
      <c r="B150" t="s">
        <v>207</v>
      </c>
      <c r="C150" t="s">
        <v>208</v>
      </c>
      <c r="D150" t="s">
        <v>209</v>
      </c>
      <c r="E150" t="s">
        <v>214</v>
      </c>
      <c r="F150" s="66" t="s">
        <v>70</v>
      </c>
      <c r="G150" s="67">
        <v>1500</v>
      </c>
      <c r="H150" s="67">
        <v>0</v>
      </c>
      <c r="I150" s="5">
        <f t="shared" si="5"/>
        <v>8621.6199999999881</v>
      </c>
    </row>
    <row r="151" spans="1:9" x14ac:dyDescent="0.3">
      <c r="A151" s="65">
        <v>45908</v>
      </c>
      <c r="B151" t="s">
        <v>87</v>
      </c>
      <c r="F151" s="66" t="s">
        <v>82</v>
      </c>
      <c r="G151" s="67">
        <v>2.93</v>
      </c>
      <c r="H151" s="67">
        <v>0</v>
      </c>
      <c r="I151" s="5">
        <f t="shared" si="5"/>
        <v>8624.5499999999884</v>
      </c>
    </row>
    <row r="152" spans="1:9" x14ac:dyDescent="0.3">
      <c r="A152" s="65">
        <v>45908</v>
      </c>
      <c r="B152" t="s">
        <v>211</v>
      </c>
      <c r="C152" s="80" t="s">
        <v>212</v>
      </c>
      <c r="D152" t="s">
        <v>213</v>
      </c>
      <c r="E152" t="s">
        <v>215</v>
      </c>
      <c r="F152" s="66" t="s">
        <v>70</v>
      </c>
      <c r="G152" s="67">
        <v>1500</v>
      </c>
      <c r="H152" s="67">
        <v>0</v>
      </c>
      <c r="I152" s="5">
        <f t="shared" si="5"/>
        <v>10124.549999999988</v>
      </c>
    </row>
    <row r="153" spans="1:9" x14ac:dyDescent="0.3">
      <c r="A153" s="65">
        <v>45960</v>
      </c>
      <c r="B153" t="s">
        <v>87</v>
      </c>
      <c r="F153" s="66" t="s">
        <v>82</v>
      </c>
      <c r="G153" s="67">
        <v>3.74</v>
      </c>
      <c r="H153" s="67">
        <v>0</v>
      </c>
      <c r="I153" s="5">
        <f t="shared" ref="I153:I156" si="6">+I152+G153+H153</f>
        <v>10128.289999999988</v>
      </c>
    </row>
    <row r="154" spans="1:9" x14ac:dyDescent="0.3">
      <c r="A154" s="65">
        <v>45991</v>
      </c>
      <c r="B154" t="s">
        <v>87</v>
      </c>
      <c r="F154" s="66" t="s">
        <v>82</v>
      </c>
      <c r="G154" s="67">
        <v>3.39</v>
      </c>
      <c r="H154" s="67">
        <v>0</v>
      </c>
      <c r="I154" s="5">
        <f t="shared" si="6"/>
        <v>10131.679999999988</v>
      </c>
    </row>
    <row r="155" spans="1:9" x14ac:dyDescent="0.3">
      <c r="A155" s="65">
        <v>46022</v>
      </c>
      <c r="B155" t="s">
        <v>87</v>
      </c>
      <c r="F155" s="66" t="s">
        <v>82</v>
      </c>
      <c r="G155" s="67">
        <v>3.44</v>
      </c>
      <c r="H155" s="67">
        <v>0</v>
      </c>
      <c r="I155" s="5">
        <f t="shared" si="6"/>
        <v>10135.119999999988</v>
      </c>
    </row>
    <row r="156" spans="1:9" x14ac:dyDescent="0.3">
      <c r="H156" s="67">
        <v>0</v>
      </c>
      <c r="I156" s="5">
        <f t="shared" si="6"/>
        <v>10135.119999999988</v>
      </c>
    </row>
  </sheetData>
  <mergeCells count="1">
    <mergeCell ref="A1:I1"/>
  </mergeCells>
  <hyperlinks>
    <hyperlink ref="C33" r:id="rId1" xr:uid="{2BA23D3C-7EDB-426F-BA04-9A7C4C406ED8}"/>
    <hyperlink ref="C39" r:id="rId2" xr:uid="{4B68E712-E74C-4C43-8B46-231660A304F2}"/>
    <hyperlink ref="C44" r:id="rId3" xr:uid="{C9A959FC-811E-41F3-82A7-1E63EA23F4FD}"/>
    <hyperlink ref="C29" r:id="rId4" xr:uid="{1E4A011C-635C-4269-9ADA-1C25CA5970BE}"/>
    <hyperlink ref="C32" r:id="rId5" xr:uid="{050E820F-6CF7-408D-95E6-173355BE20D4}"/>
    <hyperlink ref="C36" r:id="rId6" xr:uid="{72615178-505F-4B4D-820F-88CD9F85112E}"/>
    <hyperlink ref="C38" r:id="rId7" xr:uid="{5D0B416A-7D08-40EF-8A01-606AE32539A5}"/>
    <hyperlink ref="C35" r:id="rId8" xr:uid="{FB58FB3E-19A1-4AFC-92A3-18DA2070A71B}"/>
    <hyperlink ref="C40" r:id="rId9" xr:uid="{DEEBC5B6-CE5D-442D-A43E-C3A9EF63872A}"/>
    <hyperlink ref="C45" r:id="rId10" xr:uid="{F935A2CA-ED84-47A8-8DB5-1FE1A9F2C432}"/>
    <hyperlink ref="C53" r:id="rId11" xr:uid="{28FA1DD2-441E-4367-8FD2-932D4B11B584}"/>
    <hyperlink ref="C60" r:id="rId12" xr:uid="{C009921D-B83B-41E8-94FA-B16441D0041F}"/>
    <hyperlink ref="C57" r:id="rId13" xr:uid="{CCC9EF8F-63F9-4908-98F6-2C7789BE442B}"/>
    <hyperlink ref="C61" r:id="rId14" xr:uid="{35B833DC-F78E-4CE6-8993-82FF6015EA3A}"/>
    <hyperlink ref="C64" r:id="rId15" xr:uid="{C339EC1B-AA75-4307-995B-DA8772D12AE3}"/>
    <hyperlink ref="C65" r:id="rId16" xr:uid="{AFCB618B-3298-4F20-BA38-5CF3492EA6E0}"/>
    <hyperlink ref="C68" r:id="rId17" xr:uid="{F5F44E02-EF04-47C6-A3D2-D38C829947C6}"/>
    <hyperlink ref="C71" r:id="rId18" xr:uid="{0A8E62DF-764D-4DF0-8E75-955970254351}"/>
    <hyperlink ref="C72" r:id="rId19" xr:uid="{82836BA5-9A6C-457F-9192-44A3BA35AA63}"/>
    <hyperlink ref="C75" r:id="rId20" xr:uid="{C7E34E57-95CC-44DE-8E9B-CA05C353EBFB}"/>
    <hyperlink ref="C77" r:id="rId21" xr:uid="{CF201DFE-7C36-451E-BB09-6B841CF72891}"/>
    <hyperlink ref="C80" r:id="rId22" xr:uid="{ECCBB3F0-3BC0-4202-B807-2F829C4782DF}"/>
    <hyperlink ref="C20" r:id="rId23" xr:uid="{7D51D65C-50FA-40FC-80B2-1B8CCC90B526}"/>
    <hyperlink ref="C82" r:id="rId24" xr:uid="{6DDFF857-8FB0-459D-879D-9960FF228CF7}"/>
    <hyperlink ref="C86" r:id="rId25" xr:uid="{AAB5483D-7022-4B17-BAE6-8DAF22CEC7CC}"/>
    <hyperlink ref="C88" r:id="rId26" xr:uid="{CBBCD572-C3E1-4D6D-AC79-9DC1910729E6}"/>
    <hyperlink ref="C90" r:id="rId27" xr:uid="{3964EBAE-4A1D-42D3-9E12-D6E6F255E3F3}"/>
    <hyperlink ref="C94" r:id="rId28" xr:uid="{4D791B40-5A51-414B-B6B1-00AFBD311F32}"/>
    <hyperlink ref="C96" r:id="rId29" xr:uid="{65FF132F-5193-4997-8A63-17E218779E27}"/>
    <hyperlink ref="C97" r:id="rId30" xr:uid="{59A1D21B-1368-4662-B289-C97824B93EC1}"/>
    <hyperlink ref="C102" r:id="rId31" xr:uid="{F5E687E3-0F67-45C4-AE14-8BD64596B261}"/>
    <hyperlink ref="C103" r:id="rId32" xr:uid="{EDEB7A43-25BA-4574-BCE1-70F5FB47A941}"/>
    <hyperlink ref="C105" r:id="rId33" xr:uid="{D6569747-8561-42FE-82EF-A17A2C967D2A}"/>
    <hyperlink ref="C108" r:id="rId34" xr:uid="{47584DF7-FB7E-4745-BF01-5202808C13F1}"/>
    <hyperlink ref="C109" r:id="rId35" xr:uid="{175A7561-341A-4FB8-95C3-F50371ED612C}"/>
    <hyperlink ref="C110" r:id="rId36" xr:uid="{84D4B520-BA21-43B6-9C9E-365F731AB918}"/>
    <hyperlink ref="C113" r:id="rId37" xr:uid="{DE5C06AB-0E7C-46F7-B049-A8311F07A805}"/>
    <hyperlink ref="C114" r:id="rId38" xr:uid="{8317A9C3-8AC4-4E02-8BC6-3AB28B5D8EC6}"/>
    <hyperlink ref="C116" r:id="rId39" xr:uid="{B0FB64FF-97E6-49CD-AEEB-6678D56CEFAF}"/>
    <hyperlink ref="C120" r:id="rId40" xr:uid="{1BFCECC1-A1C9-4144-B9CA-D9E89EF284EA}"/>
    <hyperlink ref="C121" r:id="rId41" xr:uid="{E1BD391C-0517-4666-805E-0D239C464046}"/>
    <hyperlink ref="C125" r:id="rId42" xr:uid="{4A5543CA-707B-420D-B9D0-644C3B32615B}"/>
    <hyperlink ref="C130" r:id="rId43" xr:uid="{CF4E6AC8-F1BD-4EAB-8B49-26A7ED11C7C1}"/>
    <hyperlink ref="C131" r:id="rId44" xr:uid="{79D2CF53-6DBD-43B5-AEE4-CCEA7C2E5198}"/>
    <hyperlink ref="C135" r:id="rId45" xr:uid="{FF341475-5920-4C87-9F76-AA41B6EE56E0}"/>
    <hyperlink ref="C132" r:id="rId46" xr:uid="{281BB927-D3AC-4A60-A086-9092126E7768}"/>
    <hyperlink ref="C137" r:id="rId47" xr:uid="{86FF1043-DA40-42F4-B2DE-7B01F3C3E119}"/>
    <hyperlink ref="C140" r:id="rId48" xr:uid="{44F0A27F-9BED-4B64-A727-2F5B6043DEBF}"/>
    <hyperlink ref="C143" r:id="rId49" xr:uid="{EC2F1F64-1C0B-4621-88EE-ED1C93498862}"/>
    <hyperlink ref="C146" r:id="rId50" xr:uid="{BF1826A4-A5D1-4CA9-9023-10D9D66EB2F7}"/>
    <hyperlink ref="C152" r:id="rId51" xr:uid="{6937C47C-0277-4EAD-B5B8-E31B2BD7086A}"/>
  </hyperlinks>
  <pageMargins left="0.25" right="0.25" top="0.75" bottom="0.75" header="0.3" footer="0.3"/>
  <pageSetup scale="85" fitToHeight="0" orientation="landscape" r:id="rId5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6D67-F054-457E-A359-A6E4C5F938CF}">
  <dimension ref="A3:A22"/>
  <sheetViews>
    <sheetView workbookViewId="0">
      <selection activeCell="A23" sqref="A23"/>
    </sheetView>
  </sheetViews>
  <sheetFormatPr defaultRowHeight="14.4" x14ac:dyDescent="0.3"/>
  <cols>
    <col min="1" max="1" width="73.21875" customWidth="1"/>
  </cols>
  <sheetData>
    <row r="3" spans="1:1" x14ac:dyDescent="0.3">
      <c r="A3" s="75" t="s">
        <v>194</v>
      </c>
    </row>
    <row r="4" spans="1:1" x14ac:dyDescent="0.3">
      <c r="A4" t="s">
        <v>198</v>
      </c>
    </row>
    <row r="5" spans="1:1" x14ac:dyDescent="0.3">
      <c r="A5" t="s">
        <v>193</v>
      </c>
    </row>
    <row r="6" spans="1:1" x14ac:dyDescent="0.3">
      <c r="A6" t="s">
        <v>199</v>
      </c>
    </row>
    <row r="18" spans="1:1" x14ac:dyDescent="0.3">
      <c r="A18" s="75" t="s">
        <v>188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1D259-C21A-491D-B2AE-BA132E1F3A6E}">
  <dimension ref="A3:D7"/>
  <sheetViews>
    <sheetView workbookViewId="0">
      <selection activeCell="A9" sqref="A9"/>
    </sheetView>
  </sheetViews>
  <sheetFormatPr defaultRowHeight="14.4" x14ac:dyDescent="0.3"/>
  <cols>
    <col min="1" max="1" width="30.33203125" customWidth="1"/>
    <col min="2" max="2" width="8.88671875" style="106"/>
    <col min="4" max="4" width="12.21875" style="106" bestFit="1" customWidth="1"/>
  </cols>
  <sheetData>
    <row r="3" spans="1:4" x14ac:dyDescent="0.3">
      <c r="B3" s="109" t="s">
        <v>190</v>
      </c>
      <c r="C3" s="110" t="s">
        <v>191</v>
      </c>
      <c r="D3" s="109" t="s">
        <v>192</v>
      </c>
    </row>
    <row r="4" spans="1:4" x14ac:dyDescent="0.3">
      <c r="A4" t="s">
        <v>189</v>
      </c>
      <c r="B4" s="106">
        <v>598</v>
      </c>
      <c r="C4">
        <v>170</v>
      </c>
      <c r="D4" s="106">
        <f>+B4*C4</f>
        <v>101660</v>
      </c>
    </row>
    <row r="5" spans="1:4" x14ac:dyDescent="0.3">
      <c r="A5" t="s">
        <v>201</v>
      </c>
    </row>
    <row r="7" spans="1:4" x14ac:dyDescent="0.3">
      <c r="A7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Fiscal Year 2025</vt:lpstr>
      <vt:lpstr>Construction Acct</vt:lpstr>
      <vt:lpstr>Sheet2</vt:lpstr>
      <vt:lpstr>Sheet1</vt:lpstr>
      <vt:lpstr>'Construction Acct'!Print_Area</vt:lpstr>
      <vt:lpstr>'Fiscal Year 2025'!Print_Area</vt:lpstr>
      <vt:lpstr>'Construction Acct'!Print_Titles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Dunaway</dc:creator>
  <cp:lastModifiedBy>JoAnne Dunaway</cp:lastModifiedBy>
  <cp:lastPrinted>2026-01-22T04:32:34Z</cp:lastPrinted>
  <dcterms:created xsi:type="dcterms:W3CDTF">2025-01-24T03:07:11Z</dcterms:created>
  <dcterms:modified xsi:type="dcterms:W3CDTF">2026-01-22T04:33:29Z</dcterms:modified>
</cp:coreProperties>
</file>